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S:\NATCAN_Projects\Pancreatic\State of the Nation\2025\Supplementary documents\Data tables\"/>
    </mc:Choice>
  </mc:AlternateContent>
  <xr:revisionPtr revIDLastSave="0" documentId="13_ncr:1_{BB46C729-4279-48AF-819E-E6FD317CC537}" xr6:coauthVersionLast="47" xr6:coauthVersionMax="47" xr10:uidLastSave="{00000000-0000-0000-0000-000000000000}"/>
  <workbookProtection workbookAlgorithmName="SHA-512" workbookHashValue="00NzR8i5j1ndW+7w06BU5Xphw1o1EbKOVs2Hc5IICxxG0UFL8nS37pWvSF8CceJ1QaslaZzoiO5ZEHcbYKw0Iw==" workbookSaltValue="XdiFR97utmW/F8QbGtUX2w==" workbookSpinCount="100000" lockStructure="1"/>
  <bookViews>
    <workbookView xWindow="-98" yWindow="-98" windowWidth="21795" windowHeight="13875" firstSheet="10" activeTab="11" xr2:uid="{00000000-000D-0000-FFFF-FFFF00000000}"/>
  </bookViews>
  <sheets>
    <sheet name="Cover Sheet" sheetId="16" r:id="rId1"/>
    <sheet name="1 - Introduction" sheetId="1" r:id="rId2"/>
    <sheet name="2a. Data quality (Eng Trust)" sheetId="3" r:id="rId3"/>
    <sheet name="2b. Data quality (Eng Alliance)" sheetId="8" r:id="rId4"/>
    <sheet name="2c. Data quality (Wales)" sheetId="12" r:id="rId5"/>
    <sheet name="3a. Pat char (Eng Trust)" sheetId="6" r:id="rId6"/>
    <sheet name="3b. Pat char (Eng Alliance)" sheetId="9" r:id="rId7"/>
    <sheet name="3c. Pat char (Wales)" sheetId="13" r:id="rId8"/>
    <sheet name="4a. Indicators (Eng Trust)" sheetId="4" r:id="rId9"/>
    <sheet name="4b. Indicators (Eng Alliance)" sheetId="10" r:id="rId10"/>
    <sheet name="4c. Indicators (Wales)" sheetId="14" r:id="rId11"/>
    <sheet name="5. Surg indicators (Eng Trust)" sheetId="7" r:id="rId12"/>
    <sheet name="Surg indicators (Wales)" sheetId="15" r:id="rId13"/>
    <sheet name="Organisation names" sheetId="2" r:id="rId14"/>
  </sheets>
  <definedNames>
    <definedName name="_xlnm._FilterDatabase" localSheetId="2" hidden="1">'2a. Data quality (Eng Trust)'!$A$9:$H$129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14" l="1"/>
  <c r="M9" i="14"/>
  <c r="I9" i="15"/>
  <c r="H9" i="15"/>
  <c r="G9" i="15"/>
  <c r="F9" i="15"/>
  <c r="I14" i="13"/>
  <c r="N15" i="14"/>
  <c r="M15" i="14"/>
  <c r="L15" i="14"/>
  <c r="K15" i="14"/>
  <c r="N14" i="14"/>
  <c r="L14" i="14"/>
  <c r="K14" i="14"/>
  <c r="L13" i="14"/>
  <c r="K13" i="14"/>
  <c r="N12" i="14"/>
  <c r="L12" i="14"/>
  <c r="K12" i="14"/>
  <c r="N11" i="14"/>
  <c r="M11" i="14"/>
  <c r="L11" i="14"/>
  <c r="K11" i="14"/>
  <c r="N10" i="14"/>
  <c r="M10" i="14"/>
  <c r="L10" i="14"/>
  <c r="K10" i="14"/>
  <c r="N9" i="14"/>
  <c r="L9" i="14"/>
  <c r="K9" i="14"/>
  <c r="S15" i="13"/>
  <c r="R15" i="13"/>
  <c r="Q15" i="13"/>
  <c r="P15" i="13"/>
  <c r="O15" i="13"/>
  <c r="N15" i="13"/>
  <c r="M15" i="13"/>
  <c r="L15" i="13"/>
  <c r="K15" i="13"/>
  <c r="J15" i="13"/>
  <c r="I15" i="13"/>
  <c r="H15" i="13"/>
  <c r="G15" i="13"/>
  <c r="F15" i="13"/>
  <c r="E15" i="13"/>
  <c r="S14" i="13"/>
  <c r="R14" i="13"/>
  <c r="Q14" i="13"/>
  <c r="P14" i="13"/>
  <c r="O14" i="13"/>
  <c r="N14" i="13"/>
  <c r="M14" i="13"/>
  <c r="L14" i="13"/>
  <c r="K14" i="13"/>
  <c r="J14" i="13"/>
  <c r="H14" i="13"/>
  <c r="G14" i="13"/>
  <c r="F14" i="13"/>
  <c r="E14" i="13"/>
  <c r="S13" i="13"/>
  <c r="R13" i="13"/>
  <c r="Q13" i="13"/>
  <c r="P13" i="13"/>
  <c r="O13" i="13"/>
  <c r="N13" i="13"/>
  <c r="M13" i="13"/>
  <c r="L13" i="13"/>
  <c r="K13" i="13"/>
  <c r="H13" i="13"/>
  <c r="G13" i="13"/>
  <c r="F13" i="13"/>
  <c r="E13" i="13"/>
  <c r="S12" i="13"/>
  <c r="R12" i="13"/>
  <c r="Q12" i="13"/>
  <c r="P12" i="13"/>
  <c r="O12" i="13"/>
  <c r="N12" i="13"/>
  <c r="M12" i="13"/>
  <c r="L12" i="13"/>
  <c r="K12" i="13"/>
  <c r="J12" i="13"/>
  <c r="I12" i="13"/>
  <c r="H12" i="13"/>
  <c r="G12" i="13"/>
  <c r="F12" i="13"/>
  <c r="E12" i="13"/>
  <c r="S11" i="13"/>
  <c r="R11" i="13"/>
  <c r="Q11" i="13"/>
  <c r="P11" i="13"/>
  <c r="O11" i="13"/>
  <c r="N11" i="13"/>
  <c r="M11" i="13"/>
  <c r="L11" i="13"/>
  <c r="K11" i="13"/>
  <c r="J11" i="13"/>
  <c r="I11" i="13"/>
  <c r="H11" i="13"/>
  <c r="G11" i="13"/>
  <c r="F11" i="13"/>
  <c r="E11" i="13"/>
  <c r="S10" i="13"/>
  <c r="R10" i="13"/>
  <c r="Q10" i="13"/>
  <c r="P10" i="13"/>
  <c r="O10" i="13"/>
  <c r="N10" i="13"/>
  <c r="M10" i="13"/>
  <c r="L10" i="13"/>
  <c r="K10" i="13"/>
  <c r="J10" i="13"/>
  <c r="I10" i="13"/>
  <c r="H10" i="13"/>
  <c r="G10" i="13"/>
  <c r="F10" i="13"/>
  <c r="E10" i="13"/>
  <c r="S9" i="13"/>
  <c r="R9" i="13"/>
  <c r="Q9" i="13"/>
  <c r="P9" i="13"/>
  <c r="O9" i="13"/>
  <c r="N9" i="13"/>
  <c r="M9" i="13"/>
  <c r="L9" i="13"/>
  <c r="K9" i="13"/>
  <c r="J9" i="13"/>
  <c r="I9" i="13"/>
  <c r="H9" i="13"/>
  <c r="G9" i="13"/>
  <c r="F9" i="13"/>
  <c r="E9" i="13"/>
  <c r="B11" i="7" l="1"/>
  <c r="B12" i="7"/>
  <c r="B13" i="7"/>
  <c r="B14" i="7"/>
  <c r="B15" i="7"/>
  <c r="B16" i="7"/>
  <c r="B17" i="7"/>
  <c r="B18" i="7"/>
  <c r="B19" i="7"/>
  <c r="B20" i="7"/>
  <c r="B21" i="7"/>
  <c r="B22" i="7"/>
  <c r="B23" i="7"/>
  <c r="B24" i="7"/>
  <c r="B25" i="7"/>
  <c r="B26" i="7"/>
  <c r="B27" i="7"/>
  <c r="B28" i="7"/>
  <c r="B29" i="7"/>
  <c r="B30" i="7"/>
  <c r="B31" i="7"/>
  <c r="B32" i="7"/>
  <c r="B10" i="7"/>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0" i="4"/>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0" i="6"/>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1" i="3"/>
  <c r="D26" i="4" l="1"/>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0" i="6"/>
  <c r="D11" i="7" l="1"/>
  <c r="D12" i="7"/>
  <c r="D13" i="7"/>
  <c r="D14" i="7"/>
  <c r="D15" i="7"/>
  <c r="D16" i="7"/>
  <c r="D17" i="7"/>
  <c r="D18" i="7"/>
  <c r="D19" i="7"/>
  <c r="D20" i="7"/>
  <c r="D21" i="7"/>
  <c r="D22" i="7"/>
  <c r="D23" i="7"/>
  <c r="D24" i="7"/>
  <c r="D25" i="7"/>
  <c r="D26" i="7"/>
  <c r="D27" i="7"/>
  <c r="D28" i="7"/>
  <c r="D29" i="7"/>
  <c r="D30" i="7"/>
  <c r="D31" i="7"/>
  <c r="D32" i="7"/>
  <c r="D10" i="7"/>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1" i="3"/>
  <c r="D11" i="4"/>
  <c r="D12" i="4"/>
  <c r="D13" i="4"/>
  <c r="D14" i="4"/>
  <c r="D15" i="4"/>
  <c r="D16" i="4"/>
  <c r="D17" i="4"/>
  <c r="D18" i="4"/>
  <c r="D19" i="4"/>
  <c r="D20" i="4"/>
  <c r="D21" i="4"/>
  <c r="D22" i="4"/>
  <c r="D23" i="4"/>
  <c r="D24" i="4"/>
  <c r="D25"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0" i="4"/>
</calcChain>
</file>

<file path=xl/sharedStrings.xml><?xml version="1.0" encoding="utf-8"?>
<sst xmlns="http://schemas.openxmlformats.org/spreadsheetml/2006/main" count="2023" uniqueCount="712">
  <si>
    <t>Cancer Alliance</t>
  </si>
  <si>
    <t>Audit years</t>
  </si>
  <si>
    <t>NHS Trust code</t>
  </si>
  <si>
    <t>NHS Trust name</t>
  </si>
  <si>
    <t>NATIONAL LEVEL - ENGLAND</t>
  </si>
  <si>
    <t>Stage at diagnosis</t>
  </si>
  <si>
    <t>Performance status</t>
  </si>
  <si>
    <t>Clinical nurse specialist</t>
  </si>
  <si>
    <t>Data completeness (%)</t>
  </si>
  <si>
    <t>R0A</t>
  </si>
  <si>
    <t>R0B</t>
  </si>
  <si>
    <t>R0D</t>
  </si>
  <si>
    <t>R1F</t>
  </si>
  <si>
    <t>R1H</t>
  </si>
  <si>
    <t>R1K</t>
  </si>
  <si>
    <t>RA2</t>
  </si>
  <si>
    <t>RA7</t>
  </si>
  <si>
    <t>RA9</t>
  </si>
  <si>
    <t>RAE</t>
  </si>
  <si>
    <t>RAJ</t>
  </si>
  <si>
    <t>RAL</t>
  </si>
  <si>
    <t>RAS</t>
  </si>
  <si>
    <t>RAX</t>
  </si>
  <si>
    <t>RBD</t>
  </si>
  <si>
    <t>RBK</t>
  </si>
  <si>
    <t>RBL</t>
  </si>
  <si>
    <t>RBN</t>
  </si>
  <si>
    <t>RBT</t>
  </si>
  <si>
    <t>RBV</t>
  </si>
  <si>
    <t>RC9</t>
  </si>
  <si>
    <t>RCB</t>
  </si>
  <si>
    <t>RCD</t>
  </si>
  <si>
    <t>RCF</t>
  </si>
  <si>
    <t>RCX</t>
  </si>
  <si>
    <t>RD1</t>
  </si>
  <si>
    <t>RD8</t>
  </si>
  <si>
    <t>RDE</t>
  </si>
  <si>
    <t>RDU</t>
  </si>
  <si>
    <t>REF</t>
  </si>
  <si>
    <t>REM</t>
  </si>
  <si>
    <t>REN</t>
  </si>
  <si>
    <t>RF4</t>
  </si>
  <si>
    <t>RFF</t>
  </si>
  <si>
    <t>RFR</t>
  </si>
  <si>
    <t>RFS</t>
  </si>
  <si>
    <t>RGN</t>
  </si>
  <si>
    <t>RGP</t>
  </si>
  <si>
    <t>RGR</t>
  </si>
  <si>
    <t>RGT</t>
  </si>
  <si>
    <t>RH5</t>
  </si>
  <si>
    <t>RH8</t>
  </si>
  <si>
    <t>RHM</t>
  </si>
  <si>
    <t>RHQ</t>
  </si>
  <si>
    <t>RHU</t>
  </si>
  <si>
    <t>RHW</t>
  </si>
  <si>
    <t>RJ1</t>
  </si>
  <si>
    <t>RJ2</t>
  </si>
  <si>
    <t>RJ6</t>
  </si>
  <si>
    <t>RJ7</t>
  </si>
  <si>
    <t>RJC</t>
  </si>
  <si>
    <t>RJE</t>
  </si>
  <si>
    <t>RJL</t>
  </si>
  <si>
    <t>RJN</t>
  </si>
  <si>
    <t>RJR</t>
  </si>
  <si>
    <t>RJZ</t>
  </si>
  <si>
    <t>RK5</t>
  </si>
  <si>
    <t>RK9</t>
  </si>
  <si>
    <t>RKB</t>
  </si>
  <si>
    <t>RKE</t>
  </si>
  <si>
    <t>RL4</t>
  </si>
  <si>
    <t>RLQ</t>
  </si>
  <si>
    <t>RLT</t>
  </si>
  <si>
    <t>RM1</t>
  </si>
  <si>
    <t>RM3</t>
  </si>
  <si>
    <t>RMC</t>
  </si>
  <si>
    <t>RMP</t>
  </si>
  <si>
    <t>RN3</t>
  </si>
  <si>
    <t>RN5</t>
  </si>
  <si>
    <t>RN7</t>
  </si>
  <si>
    <t>RNA</t>
  </si>
  <si>
    <t>RNN</t>
  </si>
  <si>
    <t>RNQ</t>
  </si>
  <si>
    <t>RNS</t>
  </si>
  <si>
    <t>RNZ</t>
  </si>
  <si>
    <t>RP5</t>
  </si>
  <si>
    <t>RPA</t>
  </si>
  <si>
    <t>RPY</t>
  </si>
  <si>
    <t>RQM</t>
  </si>
  <si>
    <t>RQW</t>
  </si>
  <si>
    <t>RQX</t>
  </si>
  <si>
    <t>RR7</t>
  </si>
  <si>
    <t>RR8</t>
  </si>
  <si>
    <t>RRF</t>
  </si>
  <si>
    <t>RRK</t>
  </si>
  <si>
    <t>RRV</t>
  </si>
  <si>
    <t>RTD</t>
  </si>
  <si>
    <t>RTE</t>
  </si>
  <si>
    <t>RTF</t>
  </si>
  <si>
    <t>RTG</t>
  </si>
  <si>
    <t>RTH</t>
  </si>
  <si>
    <t>RTK</t>
  </si>
  <si>
    <t>RTP</t>
  </si>
  <si>
    <t>RTR</t>
  </si>
  <si>
    <t>RTX</t>
  </si>
  <si>
    <t>RVJ</t>
  </si>
  <si>
    <t>RVR</t>
  </si>
  <si>
    <t>RVV</t>
  </si>
  <si>
    <t>RVW</t>
  </si>
  <si>
    <t>RWA</t>
  </si>
  <si>
    <t>RWD</t>
  </si>
  <si>
    <t>RWE</t>
  </si>
  <si>
    <t>RWF</t>
  </si>
  <si>
    <t>RWG</t>
  </si>
  <si>
    <t>RWH</t>
  </si>
  <si>
    <t>RWJ</t>
  </si>
  <si>
    <t>RWP</t>
  </si>
  <si>
    <t>RWW</t>
  </si>
  <si>
    <t>RWY</t>
  </si>
  <si>
    <t>RX1</t>
  </si>
  <si>
    <t>RXC</t>
  </si>
  <si>
    <t>RXF</t>
  </si>
  <si>
    <t>RXK</t>
  </si>
  <si>
    <t>RXL</t>
  </si>
  <si>
    <t>RXN</t>
  </si>
  <si>
    <t>RXP</t>
  </si>
  <si>
    <t>RXQ</t>
  </si>
  <si>
    <t>RXR</t>
  </si>
  <si>
    <t>RXW</t>
  </si>
  <si>
    <t>RYJ</t>
  </si>
  <si>
    <t>RYR</t>
  </si>
  <si>
    <t>Indicators related to diagnosis, staging and treatment planning</t>
  </si>
  <si>
    <t xml:space="preserve">No. of people diagnosed with pancreatic cancer </t>
  </si>
  <si>
    <t>Disease-targeted treatment</t>
  </si>
  <si>
    <t>Supportive care</t>
  </si>
  <si>
    <t xml:space="preserve">Audit years
</t>
  </si>
  <si>
    <t>*</t>
  </si>
  <si>
    <t>Diagnosis, staging and treatment planning</t>
  </si>
  <si>
    <t>Cheshire and Merseyside</t>
  </si>
  <si>
    <t>East Midlands</t>
  </si>
  <si>
    <t>Greater Manchester</t>
  </si>
  <si>
    <t>Humber and North Yorkshire</t>
  </si>
  <si>
    <t>Kent and Medway</t>
  </si>
  <si>
    <t>Lancashire and South Cumbria</t>
  </si>
  <si>
    <t>North Central London</t>
  </si>
  <si>
    <t>North East London</t>
  </si>
  <si>
    <t>Northern</t>
  </si>
  <si>
    <t>Peninsula</t>
  </si>
  <si>
    <t>Somerset, Wiltshire, Avon and Gloucestershire</t>
  </si>
  <si>
    <t>South East London</t>
  </si>
  <si>
    <t>South Yorkshire and Bassetlaw</t>
  </si>
  <si>
    <t>Surrey and Sussex</t>
  </si>
  <si>
    <t>Thames Valley</t>
  </si>
  <si>
    <t>Wessex</t>
  </si>
  <si>
    <t>West Midlands</t>
  </si>
  <si>
    <t>West Yorkshire and Harrogate</t>
  </si>
  <si>
    <t>Countess Of Chester Hospital NHS Foundation Trust</t>
  </si>
  <si>
    <t>East Cheshire NHS Trust</t>
  </si>
  <si>
    <t>Liverpool University Hospitals NHS Foundation Trust</t>
  </si>
  <si>
    <t>Mersey And West Lancashire Teaching Hospitals NHS Trust</t>
  </si>
  <si>
    <t>Mid Cheshire Hospitals NHS Foundation Trust</t>
  </si>
  <si>
    <t>Warrington and Halton Teaching Hospitals NHS Foundation Trust</t>
  </si>
  <si>
    <t>Wirral University Teaching Hospital NHS Foundation Trust</t>
  </si>
  <si>
    <t>Kettering General Hospital NHS Foundation Trust</t>
  </si>
  <si>
    <t>Northampton General Hospital NHS Trust</t>
  </si>
  <si>
    <t>Nottingham University Hospitals NHS Trust</t>
  </si>
  <si>
    <t>Sherwood Forest Hospitals NHS Foundation Trust</t>
  </si>
  <si>
    <t>University Hospitals Of Derby and Burton NHS Foundation Trust</t>
  </si>
  <si>
    <t>University Hospitals Of Leicester NHS Trust</t>
  </si>
  <si>
    <t>Cambridge University Hospitals NHS Foundation Trust</t>
  </si>
  <si>
    <t>East Suffolk and North Essex NHS Foundation Trust</t>
  </si>
  <si>
    <t>James Paget University Hospitals NHS Foundation Trust</t>
  </si>
  <si>
    <t>Norfolk and Norwich University Hospitals NHS Foundation Trust</t>
  </si>
  <si>
    <t>North West Anglia NHS Foundation Trust</t>
  </si>
  <si>
    <t>West Suffolk NHS Foundation Trust</t>
  </si>
  <si>
    <t>Bedfordshire Hospitals NHS Foundation Trust</t>
  </si>
  <si>
    <t>East and North Hertfordshire NHS Trust</t>
  </si>
  <si>
    <t>Mid and South Essex NHS Foundation Trust</t>
  </si>
  <si>
    <t>Milton Keynes University Hospital NHS Foundation Trust</t>
  </si>
  <si>
    <t>West Hertfordshire Teaching Hospitals NHS Trust</t>
  </si>
  <si>
    <t>Bolton NHS Foundation Trust</t>
  </si>
  <si>
    <t>Manchester University NHS Foundation Trust</t>
  </si>
  <si>
    <t>Northern Care Alliance NHS Foundation Trust</t>
  </si>
  <si>
    <t>Stockport NHS Foundation Trust</t>
  </si>
  <si>
    <t>Tameside and Glossop Integrated Care NHS Foundation Trust</t>
  </si>
  <si>
    <t>Wrightington, Wigan and Leigh NHS Foundation Trust</t>
  </si>
  <si>
    <t>Hull University Teaching Hospitals NHS Trust</t>
  </si>
  <si>
    <t>Northern Lincolnshire and Goole NHS Foundation Trust</t>
  </si>
  <si>
    <t>York and Scarborough Teaching Hospitals NHS Foundation Trust</t>
  </si>
  <si>
    <t>Dartford and Gravesham NHS Trust</t>
  </si>
  <si>
    <t>East Kent Hospitals University NHS Foundation Trust</t>
  </si>
  <si>
    <t>Maidstone and Tunbridge Wells NHS Trust</t>
  </si>
  <si>
    <t>Medway NHS Foundation Trust</t>
  </si>
  <si>
    <t>Blackpool Teaching Hospitals NHS Foundation Trust</t>
  </si>
  <si>
    <t>East Lancashire Hospitals NHS Trust</t>
  </si>
  <si>
    <t>Lancashire Teaching Hospitals NHS Foundation Trust</t>
  </si>
  <si>
    <t>University Hospitals Of Morecambe Bay NHS Foundation Trust</t>
  </si>
  <si>
    <t>Royal Free London NHS Foundation Trust</t>
  </si>
  <si>
    <t>University College London Hospitals NHS Foundation Trust</t>
  </si>
  <si>
    <t>Whittington Health NHS Trust</t>
  </si>
  <si>
    <t>Barking, Havering and Redbridge University Hospitals NHS Trust</t>
  </si>
  <si>
    <t>Barts Health NHS Trust</t>
  </si>
  <si>
    <t>Homerton Healthcare NHS Foundation Trust</t>
  </si>
  <si>
    <t>County Durham and Darlington NHS Foundation Trust</t>
  </si>
  <si>
    <t>Gateshead Health NHS Foundation Trust</t>
  </si>
  <si>
    <t>North Cumbria Integrated Care NHS Foundation Trust</t>
  </si>
  <si>
    <t>North Tees and Hartlepool NHS Foundation Trust</t>
  </si>
  <si>
    <t>Northumbria Healthcare NHS Foundation Trust</t>
  </si>
  <si>
    <t>South Tees Hospitals NHS Foundation Trust</t>
  </si>
  <si>
    <t>South Tyneside and Sunderland NHS Foundation Trust</t>
  </si>
  <si>
    <t>Royal Cornwall Hospitals NHS Trust</t>
  </si>
  <si>
    <t>Royal Devon University Healthcare NHS Foundation Trust</t>
  </si>
  <si>
    <t>Torbay and South Devon NHS Foundation Trust</t>
  </si>
  <si>
    <t>University Hospitals Plymouth NHS Trust</t>
  </si>
  <si>
    <t>Chelsea and Westminster Hospital NHS Foundation Trust</t>
  </si>
  <si>
    <t>Croydon Health Services NHS Trust</t>
  </si>
  <si>
    <t>Epsom and St Helier University Hospitals NHS Trust</t>
  </si>
  <si>
    <t>Imperial College Healthcare NHS Trust</t>
  </si>
  <si>
    <t>London North West University Healthcare NHS Trust</t>
  </si>
  <si>
    <t>St George's University Hospitals NHS Foundation Trust</t>
  </si>
  <si>
    <t>Gloucestershire Hospitals NHS Foundation Trust</t>
  </si>
  <si>
    <t>North Bristol NHS Trust</t>
  </si>
  <si>
    <t>Royal United Hospitals Bath NHS Foundation Trust</t>
  </si>
  <si>
    <t>Salisbury NHS Foundation Trust</t>
  </si>
  <si>
    <t>Somerset NHS Foundation Trust</t>
  </si>
  <si>
    <t>University Hospitals Bristol and Weston NHS Foundation Trust</t>
  </si>
  <si>
    <t>Guy's and St Thomas' NHS Foundation Trust</t>
  </si>
  <si>
    <t>King's College Hospital NHS Foundation Trust</t>
  </si>
  <si>
    <t>Lewisham and Greenwich NHS Trust</t>
  </si>
  <si>
    <t>Barnsley Hospital NHS Foundation Trust</t>
  </si>
  <si>
    <t>Chesterfield Royal Hospital NHS Foundation Trust</t>
  </si>
  <si>
    <t>Doncaster and Bassetlaw Teaching Hospitals NHS Foundation Trust</t>
  </si>
  <si>
    <t>Sheffield Teaching Hospitals NHS Foundation Trust</t>
  </si>
  <si>
    <t>Ashford and St Peter's Hospitals NHS Foundation Trust</t>
  </si>
  <si>
    <t>East Sussex Healthcare NHS Trust</t>
  </si>
  <si>
    <t>Frimley Health NHS Foundation Trust</t>
  </si>
  <si>
    <t>Royal Surrey County Hospital NHS Foundation Trust</t>
  </si>
  <si>
    <t>Surrey and Sussex Healthcare NHS Trust</t>
  </si>
  <si>
    <t>University Hospitals Sussex NHS Foundation Trust</t>
  </si>
  <si>
    <t>Buckinghamshire Healthcare NHS Trust</t>
  </si>
  <si>
    <t>Great Western Hospitals NHS Foundation Trust</t>
  </si>
  <si>
    <t>Oxford University Hospitals NHS Foundation Trust</t>
  </si>
  <si>
    <t>Royal Berkshire NHS Foundation Trust</t>
  </si>
  <si>
    <t>Dorset County Hospital NHS Foundation Trust</t>
  </si>
  <si>
    <t>Hampshire Hospitals NHS Foundation Trust</t>
  </si>
  <si>
    <t>Isle Of Wight NHS Trust</t>
  </si>
  <si>
    <t>Portsmouth Hospitals University NHS Trust</t>
  </si>
  <si>
    <t>University Hospital Southampton NHS Foundation Trust</t>
  </si>
  <si>
    <t>University Hospitals Dorset NHS Foundation Trust</t>
  </si>
  <si>
    <t>George Eliot Hospital NHS Trust</t>
  </si>
  <si>
    <t>Sandwell and West Birmingham Hospitals NHS Trust</t>
  </si>
  <si>
    <t>South Warwickshire University NHS Foundation Trust</t>
  </si>
  <si>
    <t>University Hospitals Birmingham NHS Foundation Trust</t>
  </si>
  <si>
    <t>University Hospitals Coventry and Warwickshire NHS Trust</t>
  </si>
  <si>
    <t>University Hospitals Of North Midlands NHS Trust</t>
  </si>
  <si>
    <t>Walsall Healthcare NHS Trust</t>
  </si>
  <si>
    <t>Worcestershire Acute Hospitals NHS Trust</t>
  </si>
  <si>
    <t>Wye Valley NHS Trust</t>
  </si>
  <si>
    <t>Airedale NHS Foundation Trust</t>
  </si>
  <si>
    <t>Bradford Teaching Hospitals NHS Foundation Trust</t>
  </si>
  <si>
    <t>Calderdale and Huddersfield NHS Foundation Trust</t>
  </si>
  <si>
    <t>Harrogate and District NHS Foundation Trust</t>
  </si>
  <si>
    <t>Leeds Teaching Hospitals NHS Trust</t>
  </si>
  <si>
    <t>Mid Yorkshire Teaching NHS Trust</t>
  </si>
  <si>
    <t>Trust code</t>
  </si>
  <si>
    <t>Trust name</t>
  </si>
  <si>
    <t>Stage 1</t>
  </si>
  <si>
    <t>Stage 2</t>
  </si>
  <si>
    <t>Stage 3</t>
  </si>
  <si>
    <t>Stage 4</t>
  </si>
  <si>
    <t>&lt;60 yrs</t>
  </si>
  <si>
    <t>60-69 yrs</t>
  </si>
  <si>
    <t>70-79 yrs</t>
  </si>
  <si>
    <t>80+ yrs</t>
  </si>
  <si>
    <t>Index of Multiple Deprivation quintile</t>
  </si>
  <si>
    <t>1 - most deprived</t>
  </si>
  <si>
    <t>5 - least deprived</t>
  </si>
  <si>
    <t>0 - fully active</t>
  </si>
  <si>
    <t>4 - bedbound</t>
  </si>
  <si>
    <t>Age group at diagnosis</t>
  </si>
  <si>
    <t>NCRD</t>
  </si>
  <si>
    <t>National Cancer Registration Data</t>
  </si>
  <si>
    <t>CT/RT</t>
  </si>
  <si>
    <t>Chemotherapy / radiotherapy</t>
  </si>
  <si>
    <t xml:space="preserve">No. diagnosed with pancreatic cancer </t>
  </si>
  <si>
    <t>Years of diagnosis</t>
  </si>
  <si>
    <t>This table gives information on the completeness of key data items in the English National Cancer Registration Dataset (NCRD).</t>
  </si>
  <si>
    <t>The data items include those required to calculate the various performance indicators and/or conduct risk adjustment for outcomes.</t>
  </si>
  <si>
    <t>These figures are based on the NHS organisation where the patient was diagnosed, as recorded in the NCRD.</t>
  </si>
  <si>
    <t>NATIONAL RESULTS - ENGLAND</t>
  </si>
  <si>
    <t>East of England</t>
  </si>
  <si>
    <t xml:space="preserve">The total number of pancreatic cancer diagnoses summed across Cancer Alliances is less than the national figure as not all diagnoses had a trust of diagnosis in the NCRD data, and therefore could not be mapped to a Cancer Alliance, and trusts with fewer than five diagnoses of pancreatic cancer over the two-year audit period are not included.  </t>
  </si>
  <si>
    <t>17 (10 to 29)</t>
  </si>
  <si>
    <t>17 (8 to 30)</t>
  </si>
  <si>
    <t>Data Tables for the State of the Nation Report from the National Pancreatic Cancer Audit (NPaCA)</t>
  </si>
  <si>
    <t>Background to the audit</t>
  </si>
  <si>
    <t>Content of data tables</t>
  </si>
  <si>
    <t>The spreadsheet tabs cover:</t>
  </si>
  <si>
    <t>- Data quality</t>
  </si>
  <si>
    <t>- Patient characteristics</t>
  </si>
  <si>
    <t>- Performance indicators</t>
  </si>
  <si>
    <t>- Surgical indicators</t>
  </si>
  <si>
    <t xml:space="preserve">Time period covered </t>
  </si>
  <si>
    <t>Additional information</t>
  </si>
  <si>
    <t>Any queries on these data tables or the audit more generally can be sent to: PancreaticCancerAudit@rcseng.ac.uk</t>
  </si>
  <si>
    <t>Stage at diagnosis (% of those with known values)</t>
  </si>
  <si>
    <t>WHO performance status (% of those with known values)</t>
  </si>
  <si>
    <r>
      <t xml:space="preserve">More details of the audit and scope can be found on our </t>
    </r>
    <r>
      <rPr>
        <u/>
        <sz val="11"/>
        <rFont val="Calibri"/>
        <family val="2"/>
      </rPr>
      <t>web page</t>
    </r>
    <r>
      <rPr>
        <sz val="11"/>
        <rFont val="Calibri"/>
        <family val="2"/>
      </rPr>
      <t>.</t>
    </r>
  </si>
  <si>
    <r>
      <t xml:space="preserve">The "Reports" section on our </t>
    </r>
    <r>
      <rPr>
        <u/>
        <sz val="11"/>
        <rFont val="Calibri"/>
        <family val="2"/>
      </rPr>
      <t>web page</t>
    </r>
    <r>
      <rPr>
        <sz val="11"/>
        <rFont val="Calibri"/>
        <family val="2"/>
      </rPr>
      <t xml:space="preserve"> contains all the reports published to date for NPaCA, including data quality reports using the more recent rapid cancer registration data.</t>
    </r>
  </si>
  <si>
    <t>Waiting times from date of urgent suspected cancer GP referral</t>
  </si>
  <si>
    <t>The purpose of the National Pancreatic Cancer Audit (NPaCA) is to evaluate the patterns of care and outcomes for people with pancreatic cancer in England and Wales, and to support services to improve the quality of care for these people.</t>
  </si>
  <si>
    <t>These data tables report the audit's performance indicators at the level of NHS trust and Cancer Alliance in England and at the level of Local Health Board in Wales.</t>
  </si>
  <si>
    <t>All NHS trusts (England) and Local Health Boards (Wales) providing pancreatic cancer services are included. These organisations are identified by name and organisation code.</t>
  </si>
  <si>
    <r>
      <t xml:space="preserve">% with record of being discussed at MDT meeting
</t>
    </r>
    <r>
      <rPr>
        <i/>
        <sz val="11"/>
        <color theme="1"/>
        <rFont val="Calibri"/>
        <family val="2"/>
      </rPr>
      <t>Higher values = better</t>
    </r>
  </si>
  <si>
    <r>
      <t xml:space="preserve">Median days from referral to diagnosis, days (IQR)
</t>
    </r>
    <r>
      <rPr>
        <i/>
        <sz val="11"/>
        <color theme="1"/>
        <rFont val="Calibri"/>
        <family val="2"/>
      </rPr>
      <t>Lower values = better</t>
    </r>
  </si>
  <si>
    <r>
      <t xml:space="preserve">Median days from diagnosis to first treatment, days (IQR)
</t>
    </r>
    <r>
      <rPr>
        <i/>
        <sz val="11"/>
        <color theme="1"/>
        <rFont val="Calibri"/>
        <family val="2"/>
      </rPr>
      <t>Lower values = better</t>
    </r>
  </si>
  <si>
    <r>
      <t xml:space="preserve">% diagnosed within 21 days of referral
</t>
    </r>
    <r>
      <rPr>
        <i/>
        <sz val="11"/>
        <color theme="1"/>
        <rFont val="Calibri"/>
        <family val="2"/>
      </rPr>
      <t>Higher values = better</t>
    </r>
  </si>
  <si>
    <r>
      <t xml:space="preserve">% diagnosed within 28 days of referral
</t>
    </r>
    <r>
      <rPr>
        <i/>
        <sz val="11"/>
        <color theme="1"/>
        <rFont val="Calibri"/>
        <family val="2"/>
      </rPr>
      <t>Higher values = better</t>
    </r>
  </si>
  <si>
    <t>% who received disease-targeted treatment, Non-metastatic (stage 1-3) at diagnosis</t>
  </si>
  <si>
    <t>% who received disease-targeted treatment, metastatic (stage 4) at diagnosis</t>
  </si>
  <si>
    <r>
      <t xml:space="preserve">% seen by a CNS around time of diagnosis
</t>
    </r>
    <r>
      <rPr>
        <i/>
        <sz val="11"/>
        <color theme="1"/>
        <rFont val="Calibri"/>
        <family val="2"/>
      </rPr>
      <t>Higher values = better</t>
    </r>
  </si>
  <si>
    <r>
      <t xml:space="preserve">% with FDG-PET/CT scan before surgery
</t>
    </r>
    <r>
      <rPr>
        <i/>
        <sz val="11"/>
        <color theme="1"/>
        <rFont val="Calibri"/>
        <family val="2"/>
      </rPr>
      <t>Higher values = better</t>
    </r>
  </si>
  <si>
    <t>% with biliary drainage (stent) before surgery</t>
  </si>
  <si>
    <t>% who received CT/RT before surgery</t>
  </si>
  <si>
    <t>% who received CT/RT after Whipple procedure</t>
  </si>
  <si>
    <t>7A1</t>
  </si>
  <si>
    <t>Betsi Cadwaladr University Health Board</t>
  </si>
  <si>
    <t>7A2</t>
  </si>
  <si>
    <t>Hywel Dda University Health Board</t>
  </si>
  <si>
    <t>7A3</t>
  </si>
  <si>
    <t>Swansea Bay University Health Board</t>
  </si>
  <si>
    <t>7A4</t>
  </si>
  <si>
    <t>Cardiff and Vale University Health Board</t>
  </si>
  <si>
    <t>7A5</t>
  </si>
  <si>
    <t>Cwm Taf Morgannwg University Health Board</t>
  </si>
  <si>
    <t>7A6</t>
  </si>
  <si>
    <t>Aneurin Bevan University Health Board</t>
  </si>
  <si>
    <t>NATIONAL RESULTS -WALES</t>
  </si>
  <si>
    <t>Local Health Board code</t>
  </si>
  <si>
    <t>These figures are based on the NHS organisation where the patient was diagnosed, as recorded in Welsh cancer data</t>
  </si>
  <si>
    <t>This table gives information on the completeness of key data items in the Welsh cancer data</t>
  </si>
  <si>
    <t>This table gives information on the characteristics of people diagnosed with pancreatic cancer at Welsh Local Health Boards. The characteristics reported on are used for case-mix adjustment in some analyses and may provide some context for interpreting the performance indicators more broadly.</t>
  </si>
  <si>
    <t>Age group at diagnosis (% of those with known values)</t>
  </si>
  <si>
    <t>Index of Multiple Deprivation quintile (of those with known values)</t>
  </si>
  <si>
    <t>Stages 1-3</t>
  </si>
  <si>
    <t>3-4</t>
  </si>
  <si>
    <t>Local Health Board name</t>
  </si>
  <si>
    <t>Results suppressed due to number in denominator &lt;25 over audit period</t>
  </si>
  <si>
    <t xml:space="preserve">This table gives information on the performance indicator values for each Local Health Board in Wales </t>
  </si>
  <si>
    <t>Non-surgical indicators are presented based on the NHS organisation where the patient was diagnosed, as recorded in Welsh cancer data</t>
  </si>
  <si>
    <t>Waiting times from date of GP referral</t>
  </si>
  <si>
    <r>
      <t xml:space="preserve">Median days from referral to first treatment, days (IQR)
</t>
    </r>
    <r>
      <rPr>
        <i/>
        <sz val="11"/>
        <color theme="1"/>
        <rFont val="Calibri"/>
        <family val="2"/>
      </rPr>
      <t>Lower values = better</t>
    </r>
  </si>
  <si>
    <r>
      <t xml:space="preserve">% diagnosed within 21 days of referral (%)
</t>
    </r>
    <r>
      <rPr>
        <i/>
        <sz val="11"/>
        <color theme="1"/>
        <rFont val="Calibri"/>
        <family val="2"/>
      </rPr>
      <t>Higher values = better</t>
    </r>
  </si>
  <si>
    <r>
      <t xml:space="preserve">% diagnosed within 28 days of referral (%)
</t>
    </r>
    <r>
      <rPr>
        <i/>
        <sz val="11"/>
        <color theme="1"/>
        <rFont val="Calibri"/>
        <family val="2"/>
      </rPr>
      <t>Higher values = better</t>
    </r>
  </si>
  <si>
    <t>% receiving disease-targeted treatment, Non-metastatic (stage 1-3) at diagnosis</t>
  </si>
  <si>
    <t>% receiving disease-targeted treatment, metastatic (stage 4) at diagnosis</t>
  </si>
  <si>
    <t>Tabs labelled "Eng Trust" display results for English NHS trusts; tabs labelled "Eng Alliance" display results for English Cancer Alliances; tabs labelled "Wales" display results for Welsh Local Health Boards.</t>
  </si>
  <si>
    <t>Programme</t>
  </si>
  <si>
    <t>National Cancer Audit Collaborating Centre (NATCAN)</t>
  </si>
  <si>
    <t>Workstream</t>
  </si>
  <si>
    <t>National Pancreatic Cancer Audit (NPaCA)</t>
  </si>
  <si>
    <t>Output title</t>
  </si>
  <si>
    <t>Geographical coverage</t>
  </si>
  <si>
    <t>Patient cohort*</t>
  </si>
  <si>
    <t xml:space="preserve">Publication date </t>
  </si>
  <si>
    <t>Publication type</t>
  </si>
  <si>
    <t>☐</t>
  </si>
  <si>
    <t>First quarterly data completeness spreadsheet</t>
  </si>
  <si>
    <t xml:space="preserve">☒ </t>
  </si>
  <si>
    <t>Second quarterly data completeness spreadsheet</t>
  </si>
  <si>
    <t>First quarterly clinical performance indicator data release spreadsheet</t>
  </si>
  <si>
    <t>Subsequent quarterly clinical performance indicator data release spreadsheet</t>
  </si>
  <si>
    <t>First quarterly online dashboard data release</t>
  </si>
  <si>
    <t>Subsequent online dashboard data release</t>
  </si>
  <si>
    <t xml:space="preserve">Annual full indicator data release </t>
  </si>
  <si>
    <t>Intended audience</t>
  </si>
  <si>
    <t>Prepared by</t>
  </si>
  <si>
    <t>NPaCA team</t>
  </si>
  <si>
    <t>*Please see further information within the ‘Introduction’ tab.</t>
  </si>
  <si>
    <t>England and Wales</t>
  </si>
  <si>
    <r>
      <t xml:space="preserve">% with prescription of PERT 
</t>
    </r>
    <r>
      <rPr>
        <i/>
        <sz val="11"/>
        <color theme="1"/>
        <rFont val="Calibri"/>
        <family val="2"/>
      </rPr>
      <t>Higher values = better</t>
    </r>
  </si>
  <si>
    <t>This table gives information on the characteristics of people diagnosed with pancreatic cancer at English NHS trusts. The characteristics reported are used for case-mix adjustment in some analyses and may provide some context for interpreting the performance indicators.</t>
  </si>
  <si>
    <t>This table gives information on the characteristics of people diagnosed with pancreatic cancer by English Cancer Alliance. The characteristics reported on are used for case-mix adjustment in some analyses and may provide some context for interpreting the performance indicators.</t>
  </si>
  <si>
    <t>Non-surgical indicators are presented based on the NHS organisation where the patient was diagnosed, as recorded in the NCRD.</t>
  </si>
  <si>
    <t xml:space="preserve">This table gives information on the non-surgical performance indicator values for each NHS trust in England with at least five diagnoses of pancreatic cancer over the two-year audit period. </t>
  </si>
  <si>
    <t>Results suppressed due to number in denominator &lt;10 over audit period</t>
  </si>
  <si>
    <t xml:space="preserve">This table gives information on the non-surgical performance indicator values by English Cancer Alliance over the two-year audit period. </t>
  </si>
  <si>
    <t>Survival</t>
  </si>
  <si>
    <r>
      <t xml:space="preserve">Adjusted 90-day survival rate (from date of diagnosis)
</t>
    </r>
    <r>
      <rPr>
        <i/>
        <sz val="11"/>
        <color theme="1"/>
        <rFont val="Calibri"/>
        <family val="2"/>
      </rPr>
      <t>Higher values = better</t>
    </r>
  </si>
  <si>
    <r>
      <t xml:space="preserve">Adjusted 1-year survival rate (from date of diagnosis)
</t>
    </r>
    <r>
      <rPr>
        <i/>
        <sz val="11"/>
        <color theme="1"/>
        <rFont val="Calibri"/>
        <family val="2"/>
      </rPr>
      <t>Higher values = better</t>
    </r>
  </si>
  <si>
    <t>State of the Nation Report 2025 - Data Tables</t>
  </si>
  <si>
    <t>NHS trusts and health boards providing pancreatic cancer care; Cancer Alliances; Integrated Care Boards</t>
  </si>
  <si>
    <r>
      <t>Published Septem</t>
    </r>
    <r>
      <rPr>
        <sz val="11"/>
        <rFont val="Calibri"/>
        <family val="2"/>
      </rPr>
      <t>ber 2025</t>
    </r>
  </si>
  <si>
    <r>
      <t xml:space="preserve">These data tables accompany the NPaCA State of the Nation report published in September 2025. The report is available for download on our </t>
    </r>
    <r>
      <rPr>
        <u/>
        <sz val="11"/>
        <rFont val="Calibri"/>
        <family val="2"/>
      </rPr>
      <t>web page</t>
    </r>
    <r>
      <rPr>
        <sz val="11"/>
        <rFont val="Calibri"/>
        <family val="2"/>
      </rPr>
      <t>.</t>
    </r>
  </si>
  <si>
    <t>NPaCA Data Quality indicators for English NHS trusts (2021-2022)</t>
  </si>
  <si>
    <t>2021-2022</t>
  </si>
  <si>
    <t>NPaCA Data Quality indicators for English Cancer Alliances (2021-2022)</t>
  </si>
  <si>
    <t>These figures are based on the NHS organisation where the patient was diagnosed, as recorded in the NCRD, mapped to current configuration of Cancer Alliances (accurate as of June 2025).</t>
  </si>
  <si>
    <t>Characteristics of people diagnosed with pancreatic cancer at English NHS trusts (2021-2022)</t>
  </si>
  <si>
    <t>NPaCA performance indicator values for English NHS trusts (2021-2022)</t>
  </si>
  <si>
    <t>NPaCA performance indicator values for English Cancer Alliances (2021-2022)</t>
  </si>
  <si>
    <t>Non-surgical indicators are presented based on the NHS organisation where the patient was diagnosed, as recorded in the NCRD, mapped to current configuration of Cancer Alliances (accurate as of June 2025).</t>
  </si>
  <si>
    <t>NPaCA performance indicator (surgical) values for English NHS trusts (2020-2022)</t>
  </si>
  <si>
    <t>2020-2022</t>
  </si>
  <si>
    <t>Clatterbridge Cancer Centre NHS Foundation Trust</t>
  </si>
  <si>
    <t>United Lincolnshire Teaching Hospitals NHS Trust</t>
  </si>
  <si>
    <t>Christie NHS Foundation Trust</t>
  </si>
  <si>
    <t>RM Partners</t>
  </si>
  <si>
    <t>Kingston and Richmond NHS Foundation Trust</t>
  </si>
  <si>
    <t>England</t>
  </si>
  <si>
    <t>Wales</t>
  </si>
  <si>
    <t>No. of people diagnosed with pancreatic cancer</t>
  </si>
  <si>
    <t xml:space="preserve">No. of people diagnosed with pancreatic cancer after urgent GP referral </t>
  </si>
  <si>
    <t>32 (14 to 43)</t>
  </si>
  <si>
    <t>14 (7 to 29)</t>
  </si>
  <si>
    <t>19 (10 to 33)</t>
  </si>
  <si>
    <t>12 (10 to 29)</t>
  </si>
  <si>
    <t>29 (12 to 50)</t>
  </si>
  <si>
    <t>15.5 (7 to 38)</t>
  </si>
  <si>
    <t>16 (9 to 48)</t>
  </si>
  <si>
    <t>16 (7 to 31)</t>
  </si>
  <si>
    <t>17 (8 to 27)</t>
  </si>
  <si>
    <t>22 (14 to 31)</t>
  </si>
  <si>
    <t>18 (9 to 39)</t>
  </si>
  <si>
    <t>21.5 (11 to 43)</t>
  </si>
  <si>
    <t>13 (9 to 33)</t>
  </si>
  <si>
    <t>22.5 (14 to 34.5)</t>
  </si>
  <si>
    <t>22.5 (11 to 42.5)</t>
  </si>
  <si>
    <t>12 (8 to 39)</t>
  </si>
  <si>
    <t>29 (10 to 46)</t>
  </si>
  <si>
    <t>13 (7 to 35)</t>
  </si>
  <si>
    <t>21 (9 to 31)</t>
  </si>
  <si>
    <t>32 (11 to 57)</t>
  </si>
  <si>
    <t>22.5 (13 to 31)</t>
  </si>
  <si>
    <t>12.5 (7.5 to 26)</t>
  </si>
  <si>
    <t>31.5 (15 to 51)</t>
  </si>
  <si>
    <t>22.5 (12 to 36)</t>
  </si>
  <si>
    <t>13 (8 to 33)</t>
  </si>
  <si>
    <t>21 (8 to 34)</t>
  </si>
  <si>
    <t>11 (5.5 to 38.5)</t>
  </si>
  <si>
    <t>15 (5 to 31)</t>
  </si>
  <si>
    <t>31.5 (21.5 to 44)</t>
  </si>
  <si>
    <t>17 (10 to 34)</t>
  </si>
  <si>
    <t>14 (11 to 18)</t>
  </si>
  <si>
    <t>29 (13 to 43)</t>
  </si>
  <si>
    <t>14.5 (8 to 32)</t>
  </si>
  <si>
    <t>26 (13 to 44)</t>
  </si>
  <si>
    <t>24.5 (9 to 35)</t>
  </si>
  <si>
    <t>10.5 (6 to 26)</t>
  </si>
  <si>
    <t>21.5 (14 to 29)</t>
  </si>
  <si>
    <t>15 (6 to 23)</t>
  </si>
  <si>
    <t>15 (6 to 38)</t>
  </si>
  <si>
    <t>14 (6 to 24.5)</t>
  </si>
  <si>
    <t>14 (9 to 36)</t>
  </si>
  <si>
    <t>18 (8 to 29)</t>
  </si>
  <si>
    <t>23 (12 to 42)</t>
  </si>
  <si>
    <t>13.5 (8 to 26)</t>
  </si>
  <si>
    <t>20 (10 to 28)</t>
  </si>
  <si>
    <t>28 (16 to 31.5)</t>
  </si>
  <si>
    <t>15 (10 to 25)</t>
  </si>
  <si>
    <t>23 (17.5 to 28)</t>
  </si>
  <si>
    <t>28 (8 to 50)</t>
  </si>
  <si>
    <t>33 (13 to 49)</t>
  </si>
  <si>
    <t>22 (7 to 30)</t>
  </si>
  <si>
    <t>27 (11.5 to 41.5)</t>
  </si>
  <si>
    <t>15 (9 to 24.5)</t>
  </si>
  <si>
    <t>14 (6.5 to 28.5)</t>
  </si>
  <si>
    <t>20.5 (13 to 34)</t>
  </si>
  <si>
    <t>22 (10 to 35.5)</t>
  </si>
  <si>
    <t>12 (7 to 29)</t>
  </si>
  <si>
    <t>13 (6 to 22)</t>
  </si>
  <si>
    <t>17 (10 to 32)</t>
  </si>
  <si>
    <t>20 (10 to 37)</t>
  </si>
  <si>
    <t>6 (5 to 15)</t>
  </si>
  <si>
    <t>19.5 (11.5 to 36)</t>
  </si>
  <si>
    <t>14.5 (7 to 24)</t>
  </si>
  <si>
    <t>14 (8 to 30)</t>
  </si>
  <si>
    <t>29.5 (3 to 42)</t>
  </si>
  <si>
    <t>9 (6 to 29)</t>
  </si>
  <si>
    <t>20 (11 to 35)</t>
  </si>
  <si>
    <t>22 (14 to 43)</t>
  </si>
  <si>
    <t>12.5 (4.5 to 28)</t>
  </si>
  <si>
    <t>13 (6.5 to 30)</t>
  </si>
  <si>
    <t>39.5 (33 to 56)</t>
  </si>
  <si>
    <t>27 (8 to 37)</t>
  </si>
  <si>
    <t>21 (13 to 38)</t>
  </si>
  <si>
    <t>20 (10 to 40)</t>
  </si>
  <si>
    <t>28 (11 to 46)</t>
  </si>
  <si>
    <t>20 (5 to 34)</t>
  </si>
  <si>
    <t>35 (14.5 to 55)</t>
  </si>
  <si>
    <t>19 (9 to 27)</t>
  </si>
  <si>
    <t>11 (1 to 28)</t>
  </si>
  <si>
    <t>23 (14 to 41)</t>
  </si>
  <si>
    <t>16.5 (5 to 34)</t>
  </si>
  <si>
    <t>14 (8 to 29)</t>
  </si>
  <si>
    <t>15.5 (10 to 25.5)</t>
  </si>
  <si>
    <t>18 (11 to 29)</t>
  </si>
  <si>
    <t>16 (8 to 33)</t>
  </si>
  <si>
    <t>17 (6 to 31)</t>
  </si>
  <si>
    <t>15 (8 to 36)</t>
  </si>
  <si>
    <t>28 (15 to 41)</t>
  </si>
  <si>
    <t>19 (8 to 33)</t>
  </si>
  <si>
    <t>28 (8 to 44)</t>
  </si>
  <si>
    <t>21 (6 to 39)</t>
  </si>
  <si>
    <t>19 (9 to 33)</t>
  </si>
  <si>
    <t>22.5 (8.5 to 38)</t>
  </si>
  <si>
    <t>14 (8 to 25.5)</t>
  </si>
  <si>
    <t>15.5 (10 to 41.5)</t>
  </si>
  <si>
    <t>17 (9 to 28)</t>
  </si>
  <si>
    <t>18 (10.5 to 42)</t>
  </si>
  <si>
    <t>24.5 (12 to 34)</t>
  </si>
  <si>
    <t>28 (19 to 46)</t>
  </si>
  <si>
    <t>13 (6 to 28)</t>
  </si>
  <si>
    <t>27 (11 to 41.5)</t>
  </si>
  <si>
    <t>7 (2 to 19.5)</t>
  </si>
  <si>
    <t>20 (5 to 35)</t>
  </si>
  <si>
    <t>25 (13 to 40)</t>
  </si>
  <si>
    <t>18 (14 to 49)</t>
  </si>
  <si>
    <t>17.5 (8 to 34.5)</t>
  </si>
  <si>
    <t>22.5 (8 to 41)</t>
  </si>
  <si>
    <t>21 (14 to 44)</t>
  </si>
  <si>
    <t>30 (17 to 44)</t>
  </si>
  <si>
    <t>15 (9 to 29)</t>
  </si>
  <si>
    <t>86 (76 to 106)</t>
  </si>
  <si>
    <t>75 (58 to 85)</t>
  </si>
  <si>
    <t>100 (67 to 136)</t>
  </si>
  <si>
    <t>82.5 (47 to 121.5)</t>
  </si>
  <si>
    <t>87.5 (77 to 111)</t>
  </si>
  <si>
    <t>80.5 (54 to 90)</t>
  </si>
  <si>
    <t>79 (57 to 101)</t>
  </si>
  <si>
    <t>84 (59 to 110)</t>
  </si>
  <si>
    <t>91 (71 to 105)</t>
  </si>
  <si>
    <t>70 (53 to 100)</t>
  </si>
  <si>
    <t>62 (50 to 108)</t>
  </si>
  <si>
    <t>100.5 (87.5 to 132)</t>
  </si>
  <si>
    <t>72 (58 to 90)</t>
  </si>
  <si>
    <t>71 (62 to 88)</t>
  </si>
  <si>
    <t>97.5 (85.5 to 124)</t>
  </si>
  <si>
    <t>66.5 (53 to 92)</t>
  </si>
  <si>
    <t>67 (42 to 79)</t>
  </si>
  <si>
    <t>78 (60 to 116)</t>
  </si>
  <si>
    <t>106 (88 to 191)</t>
  </si>
  <si>
    <t>78 (62 to 113)</t>
  </si>
  <si>
    <t>79 (65 to 104.5)</t>
  </si>
  <si>
    <t>94 (76 to 105)</t>
  </si>
  <si>
    <t>68 (51.5 to 91.5)</t>
  </si>
  <si>
    <t>70 (56 to 94.5)</t>
  </si>
  <si>
    <t>100 (57 to 128)</t>
  </si>
  <si>
    <t>82 (69 to 93)</t>
  </si>
  <si>
    <t>84.5 (73 to 96.5)</t>
  </si>
  <si>
    <t>76 (68 to 116)</t>
  </si>
  <si>
    <t>85.5 (71 to 102)</t>
  </si>
  <si>
    <t>73 (59 to 97)</t>
  </si>
  <si>
    <t>59.5 (45 to 84.5)</t>
  </si>
  <si>
    <t>78.5 (55.5 to 143)</t>
  </si>
  <si>
    <t>61 (48 to 77)</t>
  </si>
  <si>
    <t>85 (64 to 110)</t>
  </si>
  <si>
    <t>83 (57 to 89)</t>
  </si>
  <si>
    <t>75 (71 to 84)</t>
  </si>
  <si>
    <t>57 (51 to 68)</t>
  </si>
  <si>
    <t>94 (75 to 113)</t>
  </si>
  <si>
    <t>77 (73 to 82)</t>
  </si>
  <si>
    <t>89.5 (58 to 99)</t>
  </si>
  <si>
    <t>92.5 (66 to 135)</t>
  </si>
  <si>
    <t>87 (64 to 92)</t>
  </si>
  <si>
    <t>85 (62 to 104)</t>
  </si>
  <si>
    <t>60 (50 to 78)</t>
  </si>
  <si>
    <t>76.5 (57.5 to 98)</t>
  </si>
  <si>
    <t>77 (59 to 92)</t>
  </si>
  <si>
    <t>69.5 (56.5 to 83)</t>
  </si>
  <si>
    <t>75.5 (60 to 109)</t>
  </si>
  <si>
    <t>77 (70 to 95)</t>
  </si>
  <si>
    <t>63 (46 to 76)</t>
  </si>
  <si>
    <t>96 (71 to 104)</t>
  </si>
  <si>
    <t>90 (60.5 to 123)</t>
  </si>
  <si>
    <t>87 (71 to 115)</t>
  </si>
  <si>
    <t>92 (77 to 99)</t>
  </si>
  <si>
    <t>92 (81 to 105)</t>
  </si>
  <si>
    <t>82 (70 to 116)</t>
  </si>
  <si>
    <t>49 (43 to 71)</t>
  </si>
  <si>
    <t>77 (52 to 103.5)</t>
  </si>
  <si>
    <t>82 (43.5 to 109)</t>
  </si>
  <si>
    <t>99 (83 to 124)</t>
  </si>
  <si>
    <t>63.5 (56.5 to 94.5)</t>
  </si>
  <si>
    <t>104 (71 to 121)</t>
  </si>
  <si>
    <t>78 (64 to 97.5)</t>
  </si>
  <si>
    <t>55 (41 to 85)</t>
  </si>
  <si>
    <t>80 (57 to 92)</t>
  </si>
  <si>
    <t>86 (69 to 93)</t>
  </si>
  <si>
    <t>67.5 (53 to 77)</t>
  </si>
  <si>
    <t>75 (59.5 to 118)</t>
  </si>
  <si>
    <t>58 (50 to 94)</t>
  </si>
  <si>
    <t>97 (67 to 112)</t>
  </si>
  <si>
    <t>76.5 (62 to 86)</t>
  </si>
  <si>
    <t>75 (54 to 93)</t>
  </si>
  <si>
    <t>84 (63 to 89)</t>
  </si>
  <si>
    <t>90 (63 to 123)</t>
  </si>
  <si>
    <t>71.5 (61 to 103)</t>
  </si>
  <si>
    <t>83 (69 to 86)</t>
  </si>
  <si>
    <t>86.5 (60.5 to 101.5)</t>
  </si>
  <si>
    <t>67.5 (57 to 89)</t>
  </si>
  <si>
    <t>60 (55 to 64)</t>
  </si>
  <si>
    <t>79 (64 to 113.5)</t>
  </si>
  <si>
    <t>101 (87 to 121)</t>
  </si>
  <si>
    <t>79 (59 to 90)</t>
  </si>
  <si>
    <t>83 (56 to 96)</t>
  </si>
  <si>
    <t>78 (60.5 to 96.5)</t>
  </si>
  <si>
    <t>85.5 (49 to 97)</t>
  </si>
  <si>
    <t>74.5 (55 to 91)</t>
  </si>
  <si>
    <t>88 (63 to 155)</t>
  </si>
  <si>
    <t>76.5 (65 to 100.5)</t>
  </si>
  <si>
    <t>80 (51 to 101)</t>
  </si>
  <si>
    <t>25 (10 to 42)</t>
  </si>
  <si>
    <t>23 (12 to 41)</t>
  </si>
  <si>
    <t>20 (9 to 34)</t>
  </si>
  <si>
    <t>20 (9 to 38)</t>
  </si>
  <si>
    <t>23.5 (10 to 46)</t>
  </si>
  <si>
    <t>18 (8 to 35)</t>
  </si>
  <si>
    <t>19 (8.5 to 37.5)</t>
  </si>
  <si>
    <t>22 (11 to 42)</t>
  </si>
  <si>
    <t>21 (10 to 41.5)</t>
  </si>
  <si>
    <t>24 (12 to 42)</t>
  </si>
  <si>
    <t>15 (6 to 32)</t>
  </si>
  <si>
    <t>26 (12 to 38)</t>
  </si>
  <si>
    <t>21.5 (10 to 38)</t>
  </si>
  <si>
    <t>14 (9 to 34)</t>
  </si>
  <si>
    <t>16 (7 to 34)</t>
  </si>
  <si>
    <t>15 (8 to 31)</t>
  </si>
  <si>
    <t>18 (9 to 34.5)</t>
  </si>
  <si>
    <t>22 (11 to 35)</t>
  </si>
  <si>
    <t>80.5 (61 to 99.5)</t>
  </si>
  <si>
    <t>80 (63 to 104)</t>
  </si>
  <si>
    <t>78.5 (62.5 to 99)</t>
  </si>
  <si>
    <t>82.5 (65 to 105)</t>
  </si>
  <si>
    <t>85 (60 to 103)</t>
  </si>
  <si>
    <t>92 (66 to 105)</t>
  </si>
  <si>
    <t>75 (57 to 93)</t>
  </si>
  <si>
    <t>71.5 (53 to 99)</t>
  </si>
  <si>
    <t>100 (66.5 to 135)</t>
  </si>
  <si>
    <t>91 (70 to 115)</t>
  </si>
  <si>
    <t>74.5 (56 to 98)</t>
  </si>
  <si>
    <t>74 (56 to 95)</t>
  </si>
  <si>
    <t>73.5 (53 to 96)</t>
  </si>
  <si>
    <t>81 (58 to 102)</t>
  </si>
  <si>
    <t>91 (71 to 109)</t>
  </si>
  <si>
    <t>87 (64.5 to 109)</t>
  </si>
  <si>
    <t>70 (50 to 85)</t>
  </si>
  <si>
    <t>66.5 (51 to 84)</t>
  </si>
  <si>
    <t>75 (56 to 99)</t>
  </si>
  <si>
    <t>69.5 (53.5 to 89.5)</t>
  </si>
  <si>
    <t xml:space="preserve">No. of people diagnosed with pancreatic cancer and undergoing surgery </t>
  </si>
  <si>
    <t xml:space="preserve">No. of people diagnosed with pancreatic cancer and undergoing Whipple procedure </t>
  </si>
  <si>
    <t>20 (9 to 36)</t>
  </si>
  <si>
    <t>78 (59 to 100)</t>
  </si>
  <si>
    <t xml:space="preserve">No. of people receiving disease-targeted treatment after urgent GP referral </t>
  </si>
  <si>
    <t>This table gives information on the performance indicator values related to surgery at each specialist HPB surgical centre in England over a three-year period.</t>
  </si>
  <si>
    <t>The total number of pancreatic cancer surgeries summed across specialist HPB surgical centres is less than the national figure as there were a small number of surgeries recorded at non-specialist centres which are not displayed.</t>
  </si>
  <si>
    <t>The table displays the number of surgeries that were done within 9 months of diagnosis of pancreatic cancer (ICD-10 code: C25).</t>
  </si>
  <si>
    <t>Not available^</t>
  </si>
  <si>
    <t>^</t>
  </si>
  <si>
    <t>The audit did not receive the Diagnostic Imaging Dataset (DIDs), which contains information on FDG-PET/CT, in time for inclusion in the analyses</t>
  </si>
  <si>
    <t xml:space="preserve">The total number of pancreatic cancer diagnoses summed across NHS trusts is less than the national figure as (1) not all diagnoses had a trust of diagnosis in the NCRD data, (2) diagnoses recorded at The Christie or The Clatterbridge in NCRD are not included in the table below, and (3) trusts with fewer than five diagnoses of pancreatic cancer over the two-year audit period are not displayed. </t>
  </si>
  <si>
    <t>Diagnoses assigned to The Christie or The Clatterbridge in NCRD, which are not reported on at trust-level, are included in their respective Cancer Alliance figures below.</t>
  </si>
  <si>
    <t>Results suppressed due to &lt;10 audit-eligible diagnoses with known values (related to data quality - see tab "Data quality" for completeness of each variable)</t>
  </si>
  <si>
    <t>Results suppressed due to &lt;10 audit-eligible diagnoses in the denominator over the two-year audit period</t>
  </si>
  <si>
    <t>NPaCA Data Quality indicators for Welsh Local Health Boards (2022-23)</t>
  </si>
  <si>
    <t>2022-23</t>
  </si>
  <si>
    <t>The State of the Nation report describes the characteristics of people diagnosed with pancreatic cancer (ICD-10 code C25) in England and Wales, and the audit's performance indicators at national levels.</t>
  </si>
  <si>
    <t>Characteristics of people diagnosed with pancreatic cancer at Welsh Local Health Boards (2022-23)</t>
  </si>
  <si>
    <t>No. of people diagnosed with pancreatic cancer (2022-23)</t>
  </si>
  <si>
    <t>NPaCA performance indicator values for people diagnosed with pancreatic cancer at Welsh Local Health Boards (2022-23)</t>
  </si>
  <si>
    <t>Number of people with GP referral to diagnosis observations</t>
  </si>
  <si>
    <t>Number of people with diagnosis to first treatment observations</t>
  </si>
  <si>
    <t>Number of people with referral to first treatment observations</t>
  </si>
  <si>
    <t>21 (7 to 43)</t>
  </si>
  <si>
    <t>20 (8 to 41)</t>
  </si>
  <si>
    <t>15 (0 to 42)</t>
  </si>
  <si>
    <t>&lt;25</t>
  </si>
  <si>
    <t>25 (11 to 48)</t>
  </si>
  <si>
    <t>40 (28 to 62)</t>
  </si>
  <si>
    <t>90 (62 to  125)</t>
  </si>
  <si>
    <t>34 (17 to 76)</t>
  </si>
  <si>
    <t>25 (13 to 43)</t>
  </si>
  <si>
    <t>18 (3 to 33)</t>
  </si>
  <si>
    <t>NPaCA performance indicator (surgical) values for people diagnosed with pancreatic cancer at Welsh Local Health Boards (2022-23)</t>
  </si>
  <si>
    <t>No. of people diagnosed with pancreatic cancer in Wales and undergoing Whipple procedure in England or Wales (2022-23)</t>
  </si>
  <si>
    <t>No. of people diagnosed with pancreatic cancer and undergoing any pancreatic cancer in Wales procedure in England or Wales (2022-23)</t>
  </si>
  <si>
    <r>
      <t xml:space="preserve">% with FDG-PET/CT scan before any pancreatic surgery (occuring in a Welsh LHB only)
</t>
    </r>
    <r>
      <rPr>
        <i/>
        <sz val="11"/>
        <color theme="1"/>
        <rFont val="Calibri"/>
        <family val="2"/>
      </rPr>
      <t>Higher values = better</t>
    </r>
  </si>
  <si>
    <t>% with biliary drainage (stent) before Whipple procedure (occuring in a Welsh LHB only)</t>
  </si>
  <si>
    <t>% who received CT/RT before any pancreatic surgery (occuring in either an English NHS Trust or a Welsh LHB)</t>
  </si>
  <si>
    <t>% who received CT/RT after Whipple procedure  (occuring in either an English NHS Trust or a Welsh LHB)</t>
  </si>
  <si>
    <t>People diagnosed with pancreatic cancer in England between 01/01/2021 and 31/12/2022 and in Wales between 01/01/2022 and 31/12/2023</t>
  </si>
  <si>
    <t>Publication date - 11/09/25</t>
  </si>
  <si>
    <t>Characteristics of people diagnosed with pancreatic cancer at English Cancer Alliances (2021-2022)</t>
  </si>
  <si>
    <r>
      <rPr>
        <b/>
        <sz val="11"/>
        <color theme="1"/>
        <rFont val="Calibri"/>
        <family val="2"/>
      </rPr>
      <t xml:space="preserve">England: </t>
    </r>
    <r>
      <rPr>
        <sz val="11"/>
        <color theme="1"/>
        <rFont val="Calibri"/>
        <family val="2"/>
      </rPr>
      <t>people diagnosed with pancreatic cancer from 1st January 2021 - 31st December 2022 (non-surgical indicators); people diagnosed with pancreatic cancer from 1st January 2020 - 31st December 2022 (surgical indicators)</t>
    </r>
  </si>
  <si>
    <r>
      <rPr>
        <b/>
        <sz val="11"/>
        <color theme="1"/>
        <rFont val="Calibri"/>
        <family val="2"/>
      </rPr>
      <t xml:space="preserve">Wales: </t>
    </r>
    <r>
      <rPr>
        <sz val="11"/>
        <color theme="1"/>
        <rFont val="Calibri"/>
        <family val="2"/>
      </rPr>
      <t>people diagnosed with pancreatic cancer from 1st January 2022 - 31st December 2023</t>
    </r>
  </si>
  <si>
    <t>The NPaCA State of the Nation Report, and these data tables, focus on the following time periods:</t>
  </si>
  <si>
    <t>An interactive version of these data tables is available on our online dashboard found here: https://rcs-ceu.shinyapps.io/NPaCA/.</t>
  </si>
  <si>
    <t>Note: National figures are presented due to denominator &lt;25 for surgical trusts</t>
  </si>
  <si>
    <r>
      <rPr>
        <sz val="11"/>
        <rFont val="Calibri"/>
        <family val="2"/>
      </rPr>
      <t xml:space="preserve">It should be noted that these provider-specific results are affected by varying levels of data completeness and quality and random variation (i.e., the “role of chance”). NPaCA has adapted the </t>
    </r>
    <r>
      <rPr>
        <u/>
        <sz val="11"/>
        <rFont val="Calibri"/>
        <family val="2"/>
      </rPr>
      <t>NATCAN outlier policy</t>
    </r>
    <r>
      <rPr>
        <sz val="11"/>
        <rFont val="Calibri"/>
        <family val="2"/>
      </rPr>
      <t xml:space="preserve"> and applies this to the survival indicator of "Adjusted 90-day and 1-year survival rate (from date of diagnosis)". If the performance of a provider falls outside a pre-specified defined range it will be flagged as an outlier.</t>
    </r>
  </si>
  <si>
    <t>The Royal Marsden NHS Foundation Trust</t>
  </si>
  <si>
    <t>50 (27 to 71)</t>
  </si>
  <si>
    <t>50.5 (27 to 69)</t>
  </si>
  <si>
    <t>90 (63 to 121)</t>
  </si>
  <si>
    <t>79 (52.5 to 112)</t>
  </si>
  <si>
    <t>The Princess Alexandra Hospital NHS Trust</t>
  </si>
  <si>
    <t>The Queen Elizabeth Hospital, King's Lynn, NHS Foundation Trust</t>
  </si>
  <si>
    <t>The Newcastle Upon Tyne Hospitals NHS Foundation Trust</t>
  </si>
  <si>
    <t>The Hillingdon Hospitals NHS Foundation Trust</t>
  </si>
  <si>
    <t>The Rotherham NHS Foundation Trust</t>
  </si>
  <si>
    <t>The Dudley Group NHS Foundation Trust</t>
  </si>
  <si>
    <t>The Royal Wolverhampton NHS Trust</t>
  </si>
  <si>
    <t>The Shrewsbury and Telford Hospital NHS Trust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</si>
</sst>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23" x14ac:knownFonts="1">
    <font>
      <sz val="11"/>
      <color theme="1"/>
      <name val="Aptos Narrow"/>
      <family val="2"/>
      <scheme val="minor"/>
    </font>
    <font>
      <sz val="11"/>
      <color theme="1"/>
      <name val="Aptos Narrow"/>
      <family val="2"/>
      <scheme val="minor"/>
    </font>
    <font>
      <b/>
      <sz val="11"/>
      <color theme="1"/>
      <name val="Aptos Narrow"/>
      <family val="2"/>
      <scheme val="minor"/>
    </font>
    <font>
      <b/>
      <sz val="16"/>
      <color theme="1"/>
      <name val="Aptos Narrow"/>
      <family val="2"/>
      <scheme val="minor"/>
    </font>
    <font>
      <sz val="10"/>
      <name val="Arial"/>
      <family val="2"/>
    </font>
    <font>
      <sz val="10"/>
      <name val="Arial"/>
      <family val="2"/>
    </font>
    <font>
      <b/>
      <sz val="11"/>
      <color rgb="FF000000"/>
      <name val="Calibri"/>
      <family val="2"/>
    </font>
    <font>
      <sz val="11"/>
      <name val="Calibri"/>
      <family val="2"/>
    </font>
    <font>
      <b/>
      <sz val="16"/>
      <color theme="1"/>
      <name val="Calibri"/>
      <family val="2"/>
    </font>
    <font>
      <sz val="11"/>
      <color theme="1"/>
      <name val="Calibri"/>
      <family val="2"/>
    </font>
    <font>
      <b/>
      <sz val="11"/>
      <color theme="1"/>
      <name val="Calibri"/>
      <family val="2"/>
    </font>
    <font>
      <sz val="11"/>
      <color theme="0" tint="-0.499984740745262"/>
      <name val="Calibri"/>
      <family val="2"/>
    </font>
    <font>
      <sz val="8"/>
      <name val="Aptos Narrow"/>
      <family val="2"/>
      <scheme val="minor"/>
    </font>
    <font>
      <sz val="11"/>
      <name val="Calibri"/>
      <family val="2"/>
    </font>
    <font>
      <sz val="11"/>
      <name val="Aptos Narrow"/>
      <family val="2"/>
      <scheme val="minor"/>
    </font>
    <font>
      <sz val="10"/>
      <color rgb="FF000000"/>
      <name val="Calibri"/>
      <family val="2"/>
    </font>
    <font>
      <u/>
      <sz val="11"/>
      <color theme="10"/>
      <name val="Aptos Narrow"/>
      <family val="2"/>
      <scheme val="minor"/>
    </font>
    <font>
      <i/>
      <sz val="11"/>
      <color theme="1"/>
      <name val="Calibri"/>
      <family val="2"/>
    </font>
    <font>
      <sz val="11"/>
      <color rgb="FF231F20"/>
      <name val="Calibri"/>
      <family val="2"/>
    </font>
    <font>
      <u/>
      <sz val="11"/>
      <name val="Calibri"/>
      <family val="2"/>
    </font>
    <font>
      <b/>
      <sz val="11"/>
      <color rgb="FFFF0000"/>
      <name val="Aptos Narrow"/>
      <family val="2"/>
      <scheme val="minor"/>
    </font>
    <font>
      <sz val="11"/>
      <color rgb="FFFF0000"/>
      <name val="Aptos Narrow"/>
      <family val="2"/>
      <scheme val="minor"/>
    </font>
    <font>
      <sz val="11"/>
      <name val="Calibri"/>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4">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5" fillId="0" borderId="0"/>
    <xf numFmtId="0" fontId="7" fillId="0" borderId="0"/>
    <xf numFmtId="0" fontId="16" fillId="0" borderId="0" applyNumberFormat="0" applyFill="0" applyBorder="0" applyAlignment="0" applyProtection="0"/>
    <xf numFmtId="43" fontId="1" fillId="0" borderId="0" applyFont="0" applyFill="0" applyBorder="0" applyAlignment="0" applyProtection="0"/>
    <xf numFmtId="0" fontId="4" fillId="0" borderId="0"/>
    <xf numFmtId="0" fontId="13" fillId="0" borderId="0"/>
    <xf numFmtId="43" fontId="1" fillId="0" borderId="0" applyFont="0" applyFill="0" applyBorder="0" applyAlignment="0" applyProtection="0"/>
    <xf numFmtId="0" fontId="4" fillId="0" borderId="0"/>
    <xf numFmtId="0" fontId="13" fillId="0" borderId="0"/>
    <xf numFmtId="0" fontId="22" fillId="0" borderId="0"/>
  </cellStyleXfs>
  <cellXfs count="107">
    <xf numFmtId="0" fontId="0" fillId="0" borderId="0" xfId="0"/>
    <xf numFmtId="0" fontId="3" fillId="0" borderId="0" xfId="0" applyFont="1"/>
    <xf numFmtId="0" fontId="0" fillId="0" borderId="0" xfId="0" applyAlignment="1">
      <alignment vertical="top"/>
    </xf>
    <xf numFmtId="0" fontId="6" fillId="0" borderId="1" xfId="0" applyFont="1" applyBorder="1" applyAlignment="1">
      <alignment vertical="top" wrapText="1"/>
    </xf>
    <xf numFmtId="0" fontId="0" fillId="0" borderId="0" xfId="0" applyAlignment="1">
      <alignment horizontal="center"/>
    </xf>
    <xf numFmtId="0" fontId="2" fillId="0" borderId="0" xfId="0" applyFont="1"/>
    <xf numFmtId="0" fontId="8" fillId="0" borderId="0" xfId="0" applyFont="1"/>
    <xf numFmtId="0" fontId="9" fillId="0" borderId="0" xfId="0" applyFont="1"/>
    <xf numFmtId="0" fontId="10" fillId="0" borderId="0" xfId="0" applyFont="1"/>
    <xf numFmtId="9" fontId="10" fillId="0" borderId="0" xfId="2" applyFont="1"/>
    <xf numFmtId="0" fontId="11" fillId="0" borderId="0" xfId="0" applyFont="1"/>
    <xf numFmtId="9" fontId="11" fillId="0" borderId="0" xfId="0" applyNumberFormat="1" applyFont="1"/>
    <xf numFmtId="0" fontId="10" fillId="0" borderId="1" xfId="0" applyFont="1" applyBorder="1" applyAlignment="1">
      <alignment vertical="top" wrapText="1"/>
    </xf>
    <xf numFmtId="0" fontId="10" fillId="0" borderId="0" xfId="0" applyFont="1" applyAlignment="1">
      <alignment vertical="top" wrapText="1"/>
    </xf>
    <xf numFmtId="0" fontId="2" fillId="0" borderId="0" xfId="0" applyFont="1" applyAlignment="1">
      <alignment vertical="top" wrapText="1"/>
    </xf>
    <xf numFmtId="1" fontId="11" fillId="0" borderId="0" xfId="0" applyNumberFormat="1" applyFont="1"/>
    <xf numFmtId="0" fontId="15" fillId="0" borderId="0" xfId="0" applyFont="1"/>
    <xf numFmtId="0" fontId="14" fillId="0" borderId="0" xfId="0" applyFont="1"/>
    <xf numFmtId="0" fontId="0" fillId="2" borderId="0" xfId="0" applyFill="1"/>
    <xf numFmtId="0" fontId="10" fillId="0" borderId="4" xfId="0" applyFont="1" applyBorder="1" applyAlignment="1">
      <alignment horizontal="center" vertical="top"/>
    </xf>
    <xf numFmtId="0" fontId="0" fillId="2" borderId="0" xfId="0" applyFill="1" applyAlignment="1">
      <alignment wrapText="1"/>
    </xf>
    <xf numFmtId="9" fontId="9" fillId="0" borderId="0" xfId="2" applyFont="1"/>
    <xf numFmtId="0" fontId="9" fillId="0" borderId="1" xfId="0" applyFont="1" applyBorder="1" applyAlignment="1">
      <alignment vertical="top" wrapText="1"/>
    </xf>
    <xf numFmtId="0" fontId="9" fillId="0" borderId="1" xfId="0" applyFont="1" applyBorder="1" applyAlignment="1">
      <alignment horizontal="center" vertical="top" wrapText="1"/>
    </xf>
    <xf numFmtId="0" fontId="9" fillId="0" borderId="1" xfId="0" applyFont="1" applyBorder="1" applyAlignment="1">
      <alignment horizontal="center" vertical="top"/>
    </xf>
    <xf numFmtId="0" fontId="10" fillId="0" borderId="0" xfId="0" applyFont="1" applyAlignment="1">
      <alignment horizontal="center" vertical="top"/>
    </xf>
    <xf numFmtId="0" fontId="9" fillId="0" borderId="0" xfId="0" applyFont="1" applyAlignment="1">
      <alignment vertical="top"/>
    </xf>
    <xf numFmtId="0" fontId="9" fillId="0" borderId="0" xfId="0" applyFont="1" applyAlignment="1">
      <alignment horizontal="right"/>
    </xf>
    <xf numFmtId="0" fontId="9" fillId="0" borderId="0" xfId="0" applyFont="1" applyAlignment="1">
      <alignment horizontal="center"/>
    </xf>
    <xf numFmtId="0" fontId="11" fillId="0" borderId="0" xfId="0" applyFont="1" applyAlignment="1">
      <alignment horizontal="center"/>
    </xf>
    <xf numFmtId="2" fontId="11" fillId="0" borderId="0" xfId="0" applyNumberFormat="1" applyFont="1" applyAlignment="1">
      <alignment horizontal="center"/>
    </xf>
    <xf numFmtId="9" fontId="11" fillId="0" borderId="0" xfId="2" applyFont="1"/>
    <xf numFmtId="2" fontId="11" fillId="0" borderId="0" xfId="0" applyNumberFormat="1" applyFont="1"/>
    <xf numFmtId="0" fontId="8" fillId="2" borderId="0" xfId="0" applyFont="1" applyFill="1" applyAlignment="1">
      <alignment wrapText="1"/>
    </xf>
    <xf numFmtId="0" fontId="9" fillId="2" borderId="0" xfId="0" applyFont="1" applyFill="1"/>
    <xf numFmtId="0" fontId="9" fillId="2" borderId="0" xfId="0" applyFont="1" applyFill="1" applyAlignment="1">
      <alignment vertical="center" wrapText="1"/>
    </xf>
    <xf numFmtId="0" fontId="10" fillId="2" borderId="0" xfId="0" applyFont="1" applyFill="1" applyAlignment="1">
      <alignment wrapText="1"/>
    </xf>
    <xf numFmtId="0" fontId="18" fillId="0" borderId="0" xfId="0" applyFont="1" applyAlignment="1">
      <alignment wrapText="1"/>
    </xf>
    <xf numFmtId="0" fontId="13" fillId="2" borderId="0" xfId="6" applyFont="1" applyFill="1" applyAlignment="1">
      <alignment wrapText="1"/>
    </xf>
    <xf numFmtId="0" fontId="9" fillId="2" borderId="0" xfId="0" applyFont="1" applyFill="1" applyAlignment="1">
      <alignment wrapText="1"/>
    </xf>
    <xf numFmtId="0" fontId="9" fillId="2" borderId="0" xfId="0" quotePrefix="1" applyFont="1" applyFill="1" applyAlignment="1">
      <alignment wrapText="1"/>
    </xf>
    <xf numFmtId="0" fontId="9" fillId="0" borderId="0" xfId="0" applyFont="1" applyAlignment="1">
      <alignment wrapText="1"/>
    </xf>
    <xf numFmtId="0" fontId="20" fillId="2" borderId="0" xfId="0" applyFont="1" applyFill="1"/>
    <xf numFmtId="9" fontId="10" fillId="0" borderId="0" xfId="2" applyFont="1" applyAlignment="1">
      <alignment vertical="top" wrapText="1"/>
    </xf>
    <xf numFmtId="9" fontId="10" fillId="0" borderId="0" xfId="2" applyFont="1" applyFill="1"/>
    <xf numFmtId="49" fontId="9" fillId="0" borderId="1" xfId="0" applyNumberFormat="1" applyFont="1" applyBorder="1" applyAlignment="1">
      <alignment horizontal="center" vertical="top" wrapText="1"/>
    </xf>
    <xf numFmtId="9" fontId="9" fillId="0" borderId="0" xfId="2" applyFont="1" applyAlignment="1">
      <alignment horizontal="right"/>
    </xf>
    <xf numFmtId="9" fontId="9" fillId="0" borderId="0" xfId="2" applyFont="1" applyFill="1"/>
    <xf numFmtId="9" fontId="9" fillId="0" borderId="0" xfId="2" applyFont="1" applyFill="1" applyAlignment="1">
      <alignment horizontal="right"/>
    </xf>
    <xf numFmtId="0" fontId="10" fillId="0" borderId="0" xfId="0" applyFont="1" applyAlignment="1">
      <alignment horizontal="center"/>
    </xf>
    <xf numFmtId="0" fontId="0" fillId="2" borderId="1" xfId="0" applyFill="1" applyBorder="1"/>
    <xf numFmtId="0" fontId="0" fillId="2" borderId="3" xfId="0" applyFill="1" applyBorder="1"/>
    <xf numFmtId="0" fontId="0" fillId="2" borderId="1" xfId="0" applyFill="1" applyBorder="1" applyAlignment="1">
      <alignment vertical="top"/>
    </xf>
    <xf numFmtId="0" fontId="0" fillId="0" borderId="3" xfId="0" applyBorder="1"/>
    <xf numFmtId="0" fontId="7" fillId="0" borderId="0" xfId="0" applyFont="1"/>
    <xf numFmtId="9" fontId="10" fillId="0" borderId="0" xfId="0" applyNumberFormat="1" applyFont="1" applyAlignment="1">
      <alignment horizontal="right"/>
    </xf>
    <xf numFmtId="0" fontId="7" fillId="2" borderId="0" xfId="6" applyFont="1" applyFill="1" applyAlignment="1">
      <alignment wrapText="1"/>
    </xf>
    <xf numFmtId="0" fontId="21" fillId="0" borderId="0" xfId="0" applyFont="1"/>
    <xf numFmtId="164" fontId="10" fillId="0" borderId="0" xfId="1" applyNumberFormat="1" applyFont="1" applyFill="1"/>
    <xf numFmtId="9" fontId="10" fillId="0" borderId="0" xfId="2" applyFont="1" applyFill="1" applyBorder="1" applyAlignment="1">
      <alignment horizontal="right" vertical="top" wrapText="1"/>
    </xf>
    <xf numFmtId="9" fontId="2" fillId="0" borderId="1" xfId="2" applyFont="1" applyBorder="1"/>
    <xf numFmtId="9" fontId="9" fillId="0" borderId="0" xfId="0" applyNumberFormat="1" applyFont="1"/>
    <xf numFmtId="165" fontId="9" fillId="0" borderId="0" xfId="0" applyNumberFormat="1" applyFont="1"/>
    <xf numFmtId="9" fontId="2" fillId="0" borderId="1" xfId="2" applyFont="1" applyBorder="1" applyAlignment="1"/>
    <xf numFmtId="9" fontId="2" fillId="0" borderId="1" xfId="2" applyFont="1" applyFill="1" applyBorder="1"/>
    <xf numFmtId="0" fontId="10" fillId="0" borderId="0" xfId="2" applyNumberFormat="1" applyFont="1" applyFill="1" applyAlignment="1">
      <alignment horizontal="right"/>
    </xf>
    <xf numFmtId="3" fontId="2" fillId="0" borderId="1" xfId="0" applyNumberFormat="1" applyFont="1" applyBorder="1"/>
    <xf numFmtId="9" fontId="10" fillId="3" borderId="0" xfId="2" applyFont="1" applyFill="1" applyAlignment="1">
      <alignment horizontal="right"/>
    </xf>
    <xf numFmtId="9" fontId="9" fillId="3" borderId="0" xfId="2" applyFont="1" applyFill="1"/>
    <xf numFmtId="0" fontId="7" fillId="0" borderId="0" xfId="13" applyFont="1"/>
    <xf numFmtId="1" fontId="7" fillId="0" borderId="0" xfId="13" applyNumberFormat="1" applyFont="1"/>
    <xf numFmtId="2" fontId="9" fillId="0" borderId="0" xfId="0" applyNumberFormat="1" applyFont="1"/>
    <xf numFmtId="1" fontId="9" fillId="0" borderId="0" xfId="0" applyNumberFormat="1" applyFont="1"/>
    <xf numFmtId="9" fontId="10" fillId="0" borderId="1" xfId="2" applyFont="1" applyBorder="1"/>
    <xf numFmtId="1" fontId="9" fillId="0" borderId="0" xfId="0" applyNumberFormat="1" applyFont="1" applyAlignment="1">
      <alignment horizontal="right"/>
    </xf>
    <xf numFmtId="0" fontId="7" fillId="0" borderId="0" xfId="5" applyAlignment="1">
      <alignment horizontal="right"/>
    </xf>
    <xf numFmtId="9" fontId="9" fillId="0" borderId="0" xfId="2" applyFont="1" applyBorder="1"/>
    <xf numFmtId="0" fontId="7" fillId="0" borderId="0" xfId="5"/>
    <xf numFmtId="9" fontId="10" fillId="0" borderId="0" xfId="0" applyNumberFormat="1" applyFont="1"/>
    <xf numFmtId="9" fontId="9" fillId="0" borderId="0" xfId="0" applyNumberFormat="1" applyFont="1" applyAlignment="1">
      <alignment horizontal="right"/>
    </xf>
    <xf numFmtId="0" fontId="10" fillId="0" borderId="0" xfId="0" applyFont="1" applyAlignment="1">
      <alignment horizontal="center" vertical="top" wrapText="1"/>
    </xf>
    <xf numFmtId="0" fontId="19" fillId="0" borderId="0" xfId="6" applyFont="1" applyFill="1" applyAlignment="1">
      <alignment vertical="top" wrapText="1"/>
    </xf>
    <xf numFmtId="0" fontId="9" fillId="2" borderId="0" xfId="0" applyFont="1" applyFill="1" applyAlignment="1">
      <alignment vertical="top" wrapText="1"/>
    </xf>
    <xf numFmtId="0" fontId="13" fillId="2" borderId="0" xfId="6" applyFont="1" applyFill="1" applyAlignment="1">
      <alignment vertical="top" wrapText="1"/>
    </xf>
    <xf numFmtId="0" fontId="9" fillId="0" borderId="1" xfId="0" applyFont="1" applyBorder="1" applyAlignment="1">
      <alignment vertical="top"/>
    </xf>
    <xf numFmtId="0" fontId="9" fillId="0" borderId="0" xfId="2" applyNumberFormat="1" applyFont="1"/>
    <xf numFmtId="0" fontId="0" fillId="2" borderId="6" xfId="0" applyFill="1" applyBorder="1" applyAlignment="1">
      <alignment horizontal="left" vertical="top"/>
    </xf>
    <xf numFmtId="0" fontId="0" fillId="2" borderId="7" xfId="0" applyFill="1" applyBorder="1" applyAlignment="1">
      <alignment horizontal="left" vertical="top"/>
    </xf>
    <xf numFmtId="0" fontId="0" fillId="2" borderId="8" xfId="0" applyFill="1" applyBorder="1" applyAlignment="1">
      <alignment horizontal="left" vertical="top"/>
    </xf>
    <xf numFmtId="0" fontId="0" fillId="0" borderId="1" xfId="0" applyBorder="1" applyAlignment="1">
      <alignment horizontal="left" wrapText="1"/>
    </xf>
    <xf numFmtId="0" fontId="0" fillId="2" borderId="1" xfId="0" applyFill="1" applyBorder="1"/>
    <xf numFmtId="0" fontId="0" fillId="2" borderId="1" xfId="0" applyFill="1" applyBorder="1" applyAlignment="1">
      <alignment horizontal="left"/>
    </xf>
    <xf numFmtId="0" fontId="0" fillId="2" borderId="1" xfId="0" applyFill="1" applyBorder="1" applyAlignment="1">
      <alignment horizontal="left" wrapText="1"/>
    </xf>
    <xf numFmtId="14" fontId="0" fillId="2" borderId="1" xfId="0" applyNumberFormat="1" applyFill="1" applyBorder="1" applyAlignment="1">
      <alignment horizontal="left"/>
    </xf>
    <xf numFmtId="0" fontId="10" fillId="0" borderId="1" xfId="0" applyFont="1" applyBorder="1" applyAlignment="1">
      <alignment horizontal="center"/>
    </xf>
    <xf numFmtId="0" fontId="10" fillId="0" borderId="4" xfId="0" applyFont="1" applyBorder="1" applyAlignment="1">
      <alignment horizontal="center" vertical="top"/>
    </xf>
    <xf numFmtId="0" fontId="10" fillId="0" borderId="4" xfId="0" applyFont="1" applyBorder="1" applyAlignment="1">
      <alignment horizontal="center" vertical="top" wrapText="1"/>
    </xf>
    <xf numFmtId="0" fontId="10" fillId="0" borderId="0" xfId="0" applyFont="1" applyAlignment="1">
      <alignment horizontal="center" vertical="top"/>
    </xf>
    <xf numFmtId="0" fontId="9" fillId="0" borderId="1" xfId="0" applyFont="1" applyBorder="1" applyAlignment="1">
      <alignment horizontal="center"/>
    </xf>
    <xf numFmtId="0" fontId="9" fillId="0" borderId="2" xfId="0" applyFont="1" applyBorder="1" applyAlignment="1">
      <alignment horizontal="center" wrapText="1"/>
    </xf>
    <xf numFmtId="0" fontId="9" fillId="0" borderId="5" xfId="0" applyFont="1" applyBorder="1" applyAlignment="1">
      <alignment horizontal="center" wrapText="1"/>
    </xf>
    <xf numFmtId="0" fontId="9" fillId="0" borderId="3" xfId="0" applyFont="1" applyBorder="1" applyAlignment="1">
      <alignment horizontal="center" wrapText="1"/>
    </xf>
    <xf numFmtId="0" fontId="9" fillId="0" borderId="1" xfId="0" applyFont="1" applyBorder="1" applyAlignment="1">
      <alignment horizontal="center" vertical="top"/>
    </xf>
    <xf numFmtId="0" fontId="9" fillId="0" borderId="2" xfId="0" applyFont="1" applyBorder="1" applyAlignment="1">
      <alignment horizontal="center" vertical="top"/>
    </xf>
    <xf numFmtId="0" fontId="9" fillId="0" borderId="3" xfId="0" applyFont="1" applyBorder="1" applyAlignment="1">
      <alignment horizontal="center" vertical="top"/>
    </xf>
    <xf numFmtId="0" fontId="9" fillId="0" borderId="5" xfId="0" applyFont="1" applyBorder="1" applyAlignment="1">
      <alignment horizontal="center" vertical="top"/>
    </xf>
    <xf numFmtId="3" fontId="10" fillId="0" borderId="0" xfId="0" applyNumberFormat="1" applyFont="1"/>
  </cellXfs>
  <cellStyles count="14">
    <cellStyle name="Comma" xfId="1" builtinId="3"/>
    <cellStyle name="Comma 2" xfId="7" xr:uid="{00000000-0005-0000-0000-000001000000}"/>
    <cellStyle name="Comma 2 2" xfId="10" xr:uid="{00000000-0005-0000-0000-000002000000}"/>
    <cellStyle name="Hyperlink" xfId="6" builtinId="8"/>
    <cellStyle name="Normal" xfId="0" builtinId="0"/>
    <cellStyle name="Normal 2" xfId="3" xr:uid="{00000000-0005-0000-0000-000005000000}"/>
    <cellStyle name="Normal 3" xfId="4" xr:uid="{00000000-0005-0000-0000-000006000000}"/>
    <cellStyle name="Normal 3 2" xfId="11" xr:uid="{00000000-0005-0000-0000-000007000000}"/>
    <cellStyle name="Normal 3 3" xfId="8" xr:uid="{00000000-0005-0000-0000-000008000000}"/>
    <cellStyle name="Normal 4" xfId="5" xr:uid="{00000000-0005-0000-0000-000009000000}"/>
    <cellStyle name="Normal 4 2" xfId="12" xr:uid="{00000000-0005-0000-0000-00000A000000}"/>
    <cellStyle name="Normal 4 3" xfId="9" xr:uid="{00000000-0005-0000-0000-00000B000000}"/>
    <cellStyle name="Normal 5" xfId="13" xr:uid="{08B74D7A-063D-4DCD-A05B-24764BB0B279}"/>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natcan.org.uk/audits/pancreatic/reports/npaca-scoping-document/"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natcan.org.uk/audits/pancreatic/reports/npaca-scoping-document/" TargetMode="External"/><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183420</xdr:rowOff>
    </xdr:from>
    <xdr:to>
      <xdr:col>6</xdr:col>
      <xdr:colOff>401176</xdr:colOff>
      <xdr:row>6</xdr:row>
      <xdr:rowOff>28576</xdr:rowOff>
    </xdr:to>
    <xdr:grpSp>
      <xdr:nvGrpSpPr>
        <xdr:cNvPr id="36" name="Group 35">
          <a:extLst>
            <a:ext uri="{FF2B5EF4-FFF2-40B4-BE49-F238E27FC236}">
              <a16:creationId xmlns:a16="http://schemas.microsoft.com/office/drawing/2014/main" id="{78DA2F99-68D0-4C3A-AE66-E8476CC1AB32}"/>
            </a:ext>
          </a:extLst>
        </xdr:cNvPr>
        <xdr:cNvGrpSpPr/>
      </xdr:nvGrpSpPr>
      <xdr:grpSpPr>
        <a:xfrm>
          <a:off x="647700" y="178657"/>
          <a:ext cx="8868901" cy="935769"/>
          <a:chOff x="782954" y="126608"/>
          <a:chExt cx="8588866" cy="940908"/>
        </a:xfrm>
      </xdr:grpSpPr>
      <xdr:sp macro="" textlink="">
        <xdr:nvSpPr>
          <xdr:cNvPr id="37" name="TextBox 36">
            <a:hlinkClick xmlns:r="http://schemas.openxmlformats.org/officeDocument/2006/relationships" r:id="rId1"/>
            <a:extLst>
              <a:ext uri="{FF2B5EF4-FFF2-40B4-BE49-F238E27FC236}">
                <a16:creationId xmlns:a16="http://schemas.microsoft.com/office/drawing/2014/main" id="{D8EDBDCE-EE25-5414-13BF-ED08FB1C2BA5}"/>
              </a:ext>
            </a:extLst>
          </xdr:cNvPr>
          <xdr:cNvSpPr txBox="1"/>
        </xdr:nvSpPr>
        <xdr:spPr>
          <a:xfrm>
            <a:off x="3464713" y="126608"/>
            <a:ext cx="2942382" cy="9409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100">
                <a:solidFill>
                  <a:sysClr val="windowText" lastClr="000000"/>
                </a:solidFill>
              </a:rPr>
              <a:t>PancreaticCancerAudit@rcseng.ac.uk</a:t>
            </a:r>
          </a:p>
          <a:p>
            <a:pPr algn="l"/>
            <a:r>
              <a:rPr lang="en-GB" sz="1100">
                <a:solidFill>
                  <a:sysClr val="windowText" lastClr="000000"/>
                </a:solidFill>
              </a:rPr>
              <a:t>https://www.natcan.org.uk/audits/pancreatic/</a:t>
            </a:r>
          </a:p>
          <a:p>
            <a:pPr algn="l"/>
            <a:r>
              <a:rPr lang="en-GB" sz="1100" baseline="0">
                <a:solidFill>
                  <a:sysClr val="windowText" lastClr="000000"/>
                </a:solidFill>
              </a:rPr>
              <a:t>Twitter/X: </a:t>
            </a:r>
            <a:r>
              <a:rPr lang="en-GB">
                <a:solidFill>
                  <a:sysClr val="windowText" lastClr="000000"/>
                </a:solidFill>
              </a:rPr>
              <a:t>@NPaCA_NATCAN</a:t>
            </a:r>
          </a:p>
          <a:p>
            <a:pPr algn="l"/>
            <a:r>
              <a:rPr lang="en-GB" sz="1100">
                <a:solidFill>
                  <a:schemeClr val="dk1"/>
                </a:solidFill>
                <a:effectLst/>
                <a:latin typeface="+mn-lt"/>
                <a:ea typeface="+mn-ea"/>
                <a:cs typeface="+mn-cs"/>
              </a:rPr>
              <a:t>Bluesky: @npaca-natcan.bsky.social</a:t>
            </a:r>
          </a:p>
          <a:p>
            <a:pPr algn="l"/>
            <a:r>
              <a:rPr lang="en-GB" sz="1100">
                <a:solidFill>
                  <a:schemeClr val="dk1"/>
                </a:solidFill>
                <a:effectLst/>
                <a:latin typeface="+mn-lt"/>
                <a:ea typeface="+mn-ea"/>
                <a:cs typeface="+mn-cs"/>
              </a:rPr>
              <a:t>LinkedIn: @National Pancreatic Cancer Audit</a:t>
            </a:r>
          </a:p>
        </xdr:txBody>
      </xdr:sp>
      <xdr:pic>
        <xdr:nvPicPr>
          <xdr:cNvPr id="38" name="Picture 37">
            <a:extLst>
              <a:ext uri="{FF2B5EF4-FFF2-40B4-BE49-F238E27FC236}">
                <a16:creationId xmlns:a16="http://schemas.microsoft.com/office/drawing/2014/main" id="{9F891893-7F05-3C80-1406-0EAEE4BCF3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77417" y="133350"/>
            <a:ext cx="2494403" cy="885190"/>
          </a:xfrm>
          <a:prstGeom prst="rect">
            <a:avLst/>
          </a:prstGeom>
        </xdr:spPr>
      </xdr:pic>
      <xdr:pic>
        <xdr:nvPicPr>
          <xdr:cNvPr id="39" name="Picture 38" descr="A purple and black logo&#10;&#10;Description automatically generated">
            <a:extLst>
              <a:ext uri="{FF2B5EF4-FFF2-40B4-BE49-F238E27FC236}">
                <a16:creationId xmlns:a16="http://schemas.microsoft.com/office/drawing/2014/main" id="{D24C6011-AF0E-DD83-2A32-1A093158AAD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82954" y="136108"/>
            <a:ext cx="2211438" cy="87967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104775</xdr:colOff>
      <xdr:row>1</xdr:row>
      <xdr:rowOff>9525</xdr:rowOff>
    </xdr:from>
    <xdr:to>
      <xdr:col>1</xdr:col>
      <xdr:colOff>8874280</xdr:colOff>
      <xdr:row>5</xdr:row>
      <xdr:rowOff>149276</xdr:rowOff>
    </xdr:to>
    <xdr:grpSp>
      <xdr:nvGrpSpPr>
        <xdr:cNvPr id="6" name="Group 5">
          <a:extLst>
            <a:ext uri="{FF2B5EF4-FFF2-40B4-BE49-F238E27FC236}">
              <a16:creationId xmlns:a16="http://schemas.microsoft.com/office/drawing/2014/main" id="{D5ABB100-4B26-495B-8DB0-37AEC73529B6}"/>
            </a:ext>
          </a:extLst>
        </xdr:cNvPr>
        <xdr:cNvGrpSpPr/>
      </xdr:nvGrpSpPr>
      <xdr:grpSpPr>
        <a:xfrm>
          <a:off x="338138" y="190500"/>
          <a:ext cx="8769505" cy="863651"/>
          <a:chOff x="782954" y="133350"/>
          <a:chExt cx="8588866" cy="885190"/>
        </a:xfrm>
      </xdr:grpSpPr>
      <xdr:pic>
        <xdr:nvPicPr>
          <xdr:cNvPr id="8" name="Picture 7">
            <a:extLst>
              <a:ext uri="{FF2B5EF4-FFF2-40B4-BE49-F238E27FC236}">
                <a16:creationId xmlns:a16="http://schemas.microsoft.com/office/drawing/2014/main" id="{D7792161-87EA-5AB4-CCF9-F1C4EB1B52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77417" y="133350"/>
            <a:ext cx="2494403" cy="885190"/>
          </a:xfrm>
          <a:prstGeom prst="rect">
            <a:avLst/>
          </a:prstGeom>
        </xdr:spPr>
      </xdr:pic>
      <xdr:pic>
        <xdr:nvPicPr>
          <xdr:cNvPr id="9" name="Picture 8" descr="A purple and black logo&#10;&#10;Description automatically generated">
            <a:extLst>
              <a:ext uri="{FF2B5EF4-FFF2-40B4-BE49-F238E27FC236}">
                <a16:creationId xmlns:a16="http://schemas.microsoft.com/office/drawing/2014/main" id="{20B4FB8C-CAF7-F395-71C6-5920B45AAA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2954" y="136108"/>
            <a:ext cx="2211438" cy="879675"/>
          </a:xfrm>
          <a:prstGeom prst="rect">
            <a:avLst/>
          </a:prstGeom>
        </xdr:spPr>
      </xdr:pic>
    </xdr:grpSp>
    <xdr:clientData/>
  </xdr:twoCellAnchor>
  <xdr:twoCellAnchor>
    <xdr:from>
      <xdr:col>1</xdr:col>
      <xdr:colOff>2952750</xdr:colOff>
      <xdr:row>0</xdr:row>
      <xdr:rowOff>152400</xdr:rowOff>
    </xdr:from>
    <xdr:to>
      <xdr:col>1</xdr:col>
      <xdr:colOff>5801808</xdr:colOff>
      <xdr:row>5</xdr:row>
      <xdr:rowOff>188056</xdr:rowOff>
    </xdr:to>
    <xdr:sp macro="" textlink="">
      <xdr:nvSpPr>
        <xdr:cNvPr id="2" name="TextBox 1">
          <a:hlinkClick xmlns:r="http://schemas.openxmlformats.org/officeDocument/2006/relationships" r:id="rId3"/>
          <a:extLst>
            <a:ext uri="{FF2B5EF4-FFF2-40B4-BE49-F238E27FC236}">
              <a16:creationId xmlns:a16="http://schemas.microsoft.com/office/drawing/2014/main" id="{BD578686-61F1-421D-91EE-F6B775689D40}"/>
            </a:ext>
          </a:extLst>
        </xdr:cNvPr>
        <xdr:cNvSpPr txBox="1"/>
      </xdr:nvSpPr>
      <xdr:spPr>
        <a:xfrm>
          <a:off x="3171825" y="152400"/>
          <a:ext cx="2849058" cy="9881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100">
              <a:solidFill>
                <a:sysClr val="windowText" lastClr="000000"/>
              </a:solidFill>
            </a:rPr>
            <a:t>PancreaticCancerAudit@rcseng.ac.uk</a:t>
          </a:r>
        </a:p>
        <a:p>
          <a:pPr algn="l"/>
          <a:r>
            <a:rPr lang="en-GB" sz="1100">
              <a:solidFill>
                <a:sysClr val="windowText" lastClr="000000"/>
              </a:solidFill>
            </a:rPr>
            <a:t>https://www.natcan.org.uk/audits/pancreatic/</a:t>
          </a:r>
        </a:p>
        <a:p>
          <a:pPr algn="l"/>
          <a:r>
            <a:rPr lang="en-GB" sz="1100" baseline="0">
              <a:solidFill>
                <a:sysClr val="windowText" lastClr="000000"/>
              </a:solidFill>
            </a:rPr>
            <a:t>Twitter/X: </a:t>
          </a:r>
          <a:r>
            <a:rPr lang="en-GB">
              <a:solidFill>
                <a:sysClr val="windowText" lastClr="000000"/>
              </a:solidFill>
            </a:rPr>
            <a:t>@NPaCA_NATCAN</a:t>
          </a:r>
        </a:p>
        <a:p>
          <a:pPr algn="l"/>
          <a:r>
            <a:rPr lang="en-GB" sz="1100">
              <a:solidFill>
                <a:schemeClr val="dk1"/>
              </a:solidFill>
              <a:effectLst/>
              <a:latin typeface="+mn-lt"/>
              <a:ea typeface="+mn-ea"/>
              <a:cs typeface="+mn-cs"/>
            </a:rPr>
            <a:t>Bluesky: @npaca-natcan.bsky.social</a:t>
          </a:r>
        </a:p>
        <a:p>
          <a:pPr algn="l"/>
          <a:r>
            <a:rPr lang="en-GB" sz="1100">
              <a:solidFill>
                <a:schemeClr val="dk1"/>
              </a:solidFill>
              <a:effectLst/>
              <a:latin typeface="+mn-lt"/>
              <a:ea typeface="+mn-ea"/>
              <a:cs typeface="+mn-cs"/>
            </a:rPr>
            <a:t>LinkedIn: @National Pancreatic Cancer Audit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atcan.org.uk/audits/pancreatic/reports-2/" TargetMode="External"/><Relationship Id="rId2" Type="http://schemas.openxmlformats.org/officeDocument/2006/relationships/hyperlink" Target="https://www.natcan.org.uk/audits/pancreatic/reports-2/" TargetMode="External"/><Relationship Id="rId1" Type="http://schemas.openxmlformats.org/officeDocument/2006/relationships/hyperlink" Target="https://www.natcan.org.uk/audits/pancreatic/" TargetMode="External"/><Relationship Id="rId6" Type="http://schemas.openxmlformats.org/officeDocument/2006/relationships/drawing" Target="../drawings/drawing2.xml"/><Relationship Id="rId5" Type="http://schemas.openxmlformats.org/officeDocument/2006/relationships/printerSettings" Target="../printerSettings/printerSettings1.bin"/><Relationship Id="rId4" Type="http://schemas.openxmlformats.org/officeDocument/2006/relationships/hyperlink" Target="https://www.natcan.org.uk/resources/natcan-outlier-policy-npac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1"/>
  <sheetViews>
    <sheetView workbookViewId="0"/>
  </sheetViews>
  <sheetFormatPr defaultRowHeight="14.25" x14ac:dyDescent="0.45"/>
  <cols>
    <col min="2" max="2" width="23.73046875" customWidth="1"/>
    <col min="4" max="4" width="67.59765625" customWidth="1"/>
    <col min="8" max="41" width="8.86328125" style="18"/>
  </cols>
  <sheetData>
    <row r="1" spans="1:7" x14ac:dyDescent="0.45">
      <c r="A1" s="18"/>
      <c r="B1" s="18"/>
      <c r="C1" s="18"/>
      <c r="D1" s="18"/>
      <c r="E1" s="18"/>
      <c r="F1" s="18"/>
      <c r="G1" s="18"/>
    </row>
    <row r="2" spans="1:7" x14ac:dyDescent="0.45">
      <c r="A2" s="18"/>
      <c r="B2" s="18"/>
      <c r="C2" s="18"/>
      <c r="D2" s="18"/>
      <c r="E2" s="18"/>
      <c r="F2" s="18"/>
      <c r="G2" s="18"/>
    </row>
    <row r="3" spans="1:7" x14ac:dyDescent="0.45">
      <c r="A3" s="18"/>
      <c r="B3" s="18"/>
      <c r="C3" s="18"/>
      <c r="D3" s="18"/>
      <c r="E3" s="18"/>
      <c r="F3" s="18"/>
      <c r="G3" s="18"/>
    </row>
    <row r="4" spans="1:7" x14ac:dyDescent="0.45">
      <c r="A4" s="18"/>
      <c r="B4" s="18"/>
      <c r="C4" s="18"/>
      <c r="D4" s="18"/>
      <c r="E4" s="18"/>
      <c r="F4" s="18"/>
      <c r="G4" s="18"/>
    </row>
    <row r="5" spans="1:7" x14ac:dyDescent="0.45">
      <c r="A5" s="18"/>
      <c r="B5" s="18"/>
      <c r="C5" s="18"/>
      <c r="D5" s="18"/>
      <c r="E5" s="18"/>
      <c r="F5" s="18"/>
      <c r="G5" s="18"/>
    </row>
    <row r="6" spans="1:7" x14ac:dyDescent="0.45">
      <c r="A6" s="18"/>
      <c r="B6" s="18"/>
      <c r="C6" s="18"/>
      <c r="D6" s="18"/>
      <c r="E6" s="18"/>
      <c r="F6" s="18"/>
      <c r="G6" s="18"/>
    </row>
    <row r="7" spans="1:7" x14ac:dyDescent="0.45">
      <c r="A7" s="18"/>
      <c r="B7" s="18"/>
      <c r="C7" s="18"/>
      <c r="D7" s="18"/>
      <c r="E7" s="18"/>
      <c r="F7" s="18"/>
      <c r="G7" s="18"/>
    </row>
    <row r="8" spans="1:7" x14ac:dyDescent="0.45">
      <c r="A8" s="18"/>
      <c r="B8" s="18"/>
      <c r="C8" s="18"/>
      <c r="D8" s="18"/>
      <c r="E8" s="18"/>
      <c r="F8" s="18"/>
      <c r="G8" s="18"/>
    </row>
    <row r="9" spans="1:7" x14ac:dyDescent="0.45">
      <c r="A9" s="18"/>
      <c r="B9" s="50" t="s">
        <v>356</v>
      </c>
      <c r="C9" s="91" t="s">
        <v>357</v>
      </c>
      <c r="D9" s="91"/>
      <c r="E9" s="18"/>
      <c r="F9" s="18"/>
      <c r="G9" s="18"/>
    </row>
    <row r="10" spans="1:7" x14ac:dyDescent="0.45">
      <c r="A10" s="18"/>
      <c r="B10" s="50" t="s">
        <v>358</v>
      </c>
      <c r="C10" s="91" t="s">
        <v>359</v>
      </c>
      <c r="D10" s="91"/>
      <c r="E10" s="18"/>
      <c r="F10" s="18"/>
      <c r="G10" s="18"/>
    </row>
    <row r="11" spans="1:7" x14ac:dyDescent="0.45">
      <c r="A11" s="18"/>
      <c r="B11" s="50" t="s">
        <v>360</v>
      </c>
      <c r="C11" s="91" t="s">
        <v>389</v>
      </c>
      <c r="D11" s="91"/>
      <c r="E11" s="18"/>
      <c r="F11" s="18"/>
      <c r="G11" s="18"/>
    </row>
    <row r="12" spans="1:7" x14ac:dyDescent="0.45">
      <c r="A12" s="18"/>
      <c r="B12" s="50" t="s">
        <v>361</v>
      </c>
      <c r="C12" s="91" t="s">
        <v>378</v>
      </c>
      <c r="D12" s="91"/>
      <c r="E12" s="18"/>
      <c r="F12" s="18"/>
      <c r="G12" s="18"/>
    </row>
    <row r="13" spans="1:7" ht="31.15" customHeight="1" x14ac:dyDescent="0.45">
      <c r="A13" s="18"/>
      <c r="B13" s="50" t="s">
        <v>362</v>
      </c>
      <c r="C13" s="92" t="s">
        <v>690</v>
      </c>
      <c r="D13" s="92"/>
      <c r="E13" s="18"/>
      <c r="F13" s="18"/>
      <c r="G13" s="18"/>
    </row>
    <row r="14" spans="1:7" x14ac:dyDescent="0.45">
      <c r="A14" s="18"/>
      <c r="B14" s="50" t="s">
        <v>363</v>
      </c>
      <c r="C14" s="93" t="s">
        <v>691</v>
      </c>
      <c r="D14" s="93"/>
      <c r="E14" s="18"/>
      <c r="F14" s="18"/>
      <c r="G14" s="18"/>
    </row>
    <row r="15" spans="1:7" x14ac:dyDescent="0.45">
      <c r="A15" s="18"/>
      <c r="B15" s="86" t="s">
        <v>364</v>
      </c>
      <c r="C15" s="51" t="s">
        <v>365</v>
      </c>
      <c r="D15" s="50" t="s">
        <v>366</v>
      </c>
      <c r="E15" s="18"/>
      <c r="F15" s="18"/>
      <c r="G15" s="18"/>
    </row>
    <row r="16" spans="1:7" x14ac:dyDescent="0.45">
      <c r="A16" s="18"/>
      <c r="B16" s="87"/>
      <c r="C16" s="53" t="s">
        <v>365</v>
      </c>
      <c r="D16" s="50" t="s">
        <v>368</v>
      </c>
      <c r="E16" s="18"/>
      <c r="F16" s="18"/>
      <c r="G16" s="18"/>
    </row>
    <row r="17" spans="1:7" x14ac:dyDescent="0.45">
      <c r="A17" s="18"/>
      <c r="B17" s="87"/>
      <c r="C17" s="51" t="s">
        <v>365</v>
      </c>
      <c r="D17" s="50" t="s">
        <v>369</v>
      </c>
      <c r="E17" s="18"/>
      <c r="F17" s="18"/>
      <c r="G17" s="18"/>
    </row>
    <row r="18" spans="1:7" x14ac:dyDescent="0.45">
      <c r="A18" s="18"/>
      <c r="B18" s="87"/>
      <c r="C18" s="51" t="s">
        <v>365</v>
      </c>
      <c r="D18" s="50" t="s">
        <v>370</v>
      </c>
      <c r="E18" s="18"/>
      <c r="F18" s="18"/>
      <c r="G18" s="18"/>
    </row>
    <row r="19" spans="1:7" x14ac:dyDescent="0.45">
      <c r="A19" s="18"/>
      <c r="B19" s="87"/>
      <c r="C19" s="51" t="s">
        <v>365</v>
      </c>
      <c r="D19" s="50" t="s">
        <v>371</v>
      </c>
      <c r="E19" s="18"/>
      <c r="F19" s="18"/>
      <c r="G19" s="18"/>
    </row>
    <row r="20" spans="1:7" x14ac:dyDescent="0.45">
      <c r="A20" s="18"/>
      <c r="B20" s="87"/>
      <c r="C20" s="51" t="s">
        <v>365</v>
      </c>
      <c r="D20" s="50" t="s">
        <v>372</v>
      </c>
      <c r="E20" s="18"/>
      <c r="F20" s="18"/>
      <c r="G20" s="18"/>
    </row>
    <row r="21" spans="1:7" x14ac:dyDescent="0.45">
      <c r="A21" s="18"/>
      <c r="B21" s="88"/>
      <c r="C21" s="51" t="s">
        <v>367</v>
      </c>
      <c r="D21" s="50" t="s">
        <v>373</v>
      </c>
      <c r="E21" s="18"/>
      <c r="F21" s="18"/>
      <c r="G21" s="18"/>
    </row>
    <row r="22" spans="1:7" ht="27.75" customHeight="1" x14ac:dyDescent="0.45">
      <c r="A22" s="18"/>
      <c r="B22" s="52" t="s">
        <v>374</v>
      </c>
      <c r="C22" s="89" t="s">
        <v>390</v>
      </c>
      <c r="D22" s="89"/>
      <c r="E22" s="18"/>
      <c r="F22" s="18"/>
      <c r="G22" s="18"/>
    </row>
    <row r="23" spans="1:7" x14ac:dyDescent="0.45">
      <c r="A23" s="18"/>
      <c r="B23" s="50" t="s">
        <v>375</v>
      </c>
      <c r="C23" s="90" t="s">
        <v>376</v>
      </c>
      <c r="D23" s="90"/>
      <c r="E23" s="18"/>
      <c r="F23" s="18"/>
      <c r="G23" s="18"/>
    </row>
    <row r="24" spans="1:7" x14ac:dyDescent="0.45">
      <c r="A24" s="18"/>
      <c r="B24" s="18" t="s">
        <v>377</v>
      </c>
      <c r="C24" s="18"/>
      <c r="D24" s="18"/>
      <c r="E24" s="18"/>
      <c r="F24" s="18"/>
      <c r="G24" s="18"/>
    </row>
    <row r="25" spans="1:7" x14ac:dyDescent="0.45">
      <c r="A25" s="18"/>
      <c r="B25" s="18"/>
      <c r="C25" s="18"/>
      <c r="D25" s="18"/>
      <c r="E25" s="18"/>
      <c r="F25" s="18"/>
      <c r="G25" s="18"/>
    </row>
    <row r="26" spans="1:7" x14ac:dyDescent="0.45">
      <c r="A26" s="18"/>
      <c r="B26" s="18"/>
      <c r="C26" s="18"/>
      <c r="D26" s="18"/>
      <c r="E26" s="18"/>
      <c r="F26" s="18"/>
      <c r="G26" s="18"/>
    </row>
    <row r="27" spans="1:7" x14ac:dyDescent="0.45">
      <c r="A27" s="18"/>
      <c r="B27" s="18"/>
      <c r="C27" s="18"/>
      <c r="D27" s="18"/>
      <c r="E27" s="18"/>
      <c r="F27" s="18"/>
      <c r="G27" s="18"/>
    </row>
    <row r="28" spans="1:7" x14ac:dyDescent="0.45">
      <c r="A28" s="18"/>
      <c r="B28" s="18"/>
      <c r="C28" s="18"/>
      <c r="D28" s="18"/>
      <c r="E28" s="18"/>
      <c r="F28" s="18"/>
      <c r="G28" s="18"/>
    </row>
    <row r="29" spans="1:7" x14ac:dyDescent="0.45">
      <c r="A29" s="18"/>
      <c r="B29" s="18"/>
      <c r="C29" s="18"/>
      <c r="D29" s="18"/>
      <c r="E29" s="18"/>
      <c r="F29" s="18"/>
      <c r="G29" s="18"/>
    </row>
    <row r="30" spans="1:7" x14ac:dyDescent="0.45">
      <c r="A30" s="18"/>
      <c r="B30" s="18"/>
      <c r="C30" s="18"/>
      <c r="D30" s="18"/>
      <c r="E30" s="18"/>
      <c r="F30" s="18"/>
      <c r="G30" s="18"/>
    </row>
    <row r="31" spans="1:7" x14ac:dyDescent="0.45">
      <c r="A31" s="18"/>
      <c r="B31" s="18"/>
      <c r="C31" s="18"/>
      <c r="D31" s="18"/>
      <c r="E31" s="18"/>
      <c r="F31" s="18"/>
      <c r="G31" s="18"/>
    </row>
    <row r="32" spans="1:7" x14ac:dyDescent="0.45">
      <c r="A32" s="18"/>
      <c r="B32" s="18"/>
      <c r="C32" s="18"/>
      <c r="D32" s="18"/>
      <c r="E32" s="18"/>
      <c r="F32" s="18"/>
      <c r="G32" s="18"/>
    </row>
    <row r="33" spans="1:7" x14ac:dyDescent="0.45">
      <c r="A33" s="18"/>
      <c r="B33" s="18"/>
      <c r="C33" s="18"/>
      <c r="D33" s="18"/>
      <c r="E33" s="18"/>
      <c r="F33" s="18"/>
      <c r="G33" s="18"/>
    </row>
    <row r="34" spans="1:7" s="18" customFormat="1" x14ac:dyDescent="0.45"/>
    <row r="35" spans="1:7" s="18" customFormat="1" x14ac:dyDescent="0.45"/>
    <row r="36" spans="1:7" s="18" customFormat="1" x14ac:dyDescent="0.45"/>
    <row r="37" spans="1:7" s="18" customFormat="1" x14ac:dyDescent="0.45"/>
    <row r="38" spans="1:7" s="18" customFormat="1" x14ac:dyDescent="0.45"/>
    <row r="39" spans="1:7" s="18" customFormat="1" x14ac:dyDescent="0.45"/>
    <row r="40" spans="1:7" s="18" customFormat="1" x14ac:dyDescent="0.45"/>
    <row r="41" spans="1:7" s="18" customFormat="1" x14ac:dyDescent="0.45"/>
    <row r="42" spans="1:7" s="18" customFormat="1" x14ac:dyDescent="0.45"/>
    <row r="43" spans="1:7" s="18" customFormat="1" x14ac:dyDescent="0.45"/>
    <row r="44" spans="1:7" s="18" customFormat="1" x14ac:dyDescent="0.45"/>
    <row r="45" spans="1:7" s="18" customFormat="1" x14ac:dyDescent="0.45"/>
    <row r="46" spans="1:7" s="18" customFormat="1" x14ac:dyDescent="0.45"/>
    <row r="47" spans="1:7" s="18" customFormat="1" x14ac:dyDescent="0.45"/>
    <row r="48" spans="1:7" s="18" customFormat="1" x14ac:dyDescent="0.45"/>
    <row r="49" s="18" customFormat="1" x14ac:dyDescent="0.45"/>
    <row r="50" s="18" customFormat="1" x14ac:dyDescent="0.45"/>
    <row r="51" s="18" customFormat="1" x14ac:dyDescent="0.45"/>
    <row r="52" s="18" customFormat="1" x14ac:dyDescent="0.45"/>
    <row r="53" s="18" customFormat="1" x14ac:dyDescent="0.45"/>
    <row r="54" s="18" customFormat="1" x14ac:dyDescent="0.45"/>
    <row r="55" s="18" customFormat="1" x14ac:dyDescent="0.45"/>
    <row r="56" s="18" customFormat="1" x14ac:dyDescent="0.45"/>
    <row r="57" s="18" customFormat="1" x14ac:dyDescent="0.45"/>
    <row r="58" s="18" customFormat="1" x14ac:dyDescent="0.45"/>
    <row r="59" s="18" customFormat="1" x14ac:dyDescent="0.45"/>
    <row r="60" s="18" customFormat="1" x14ac:dyDescent="0.45"/>
    <row r="61" s="18" customFormat="1" x14ac:dyDescent="0.45"/>
    <row r="62" s="18" customFormat="1" x14ac:dyDescent="0.45"/>
    <row r="63" s="18" customFormat="1" x14ac:dyDescent="0.45"/>
    <row r="64" s="18" customFormat="1" x14ac:dyDescent="0.45"/>
    <row r="65" s="18" customFormat="1" x14ac:dyDescent="0.45"/>
    <row r="66" s="18" customFormat="1" x14ac:dyDescent="0.45"/>
    <row r="67" s="18" customFormat="1" x14ac:dyDescent="0.45"/>
    <row r="68" s="18" customFormat="1" x14ac:dyDescent="0.45"/>
    <row r="69" s="18" customFormat="1" x14ac:dyDescent="0.45"/>
    <row r="70" s="18" customFormat="1" x14ac:dyDescent="0.45"/>
    <row r="71" s="18" customFormat="1" x14ac:dyDescent="0.45"/>
    <row r="72" s="18" customFormat="1" x14ac:dyDescent="0.45"/>
    <row r="73" s="18" customFormat="1" x14ac:dyDescent="0.45"/>
    <row r="74" s="18" customFormat="1" x14ac:dyDescent="0.45"/>
    <row r="75" s="18" customFormat="1" x14ac:dyDescent="0.45"/>
    <row r="76" s="18" customFormat="1" x14ac:dyDescent="0.45"/>
    <row r="77" s="18" customFormat="1" x14ac:dyDescent="0.45"/>
    <row r="78" s="18" customFormat="1" x14ac:dyDescent="0.45"/>
    <row r="79" s="18" customFormat="1" x14ac:dyDescent="0.45"/>
    <row r="80" s="18" customFormat="1" x14ac:dyDescent="0.45"/>
    <row r="81" s="18" customFormat="1" x14ac:dyDescent="0.45"/>
  </sheetData>
  <mergeCells count="9">
    <mergeCell ref="B15:B21"/>
    <mergeCell ref="C22:D22"/>
    <mergeCell ref="C23:D23"/>
    <mergeCell ref="C9:D9"/>
    <mergeCell ref="C10:D10"/>
    <mergeCell ref="C11:D11"/>
    <mergeCell ref="C12:D12"/>
    <mergeCell ref="C13:D13"/>
    <mergeCell ref="C14:D1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33"/>
  <sheetViews>
    <sheetView topLeftCell="D1" workbookViewId="0">
      <pane ySplit="10" topLeftCell="A20" activePane="bottomLeft" state="frozen"/>
      <selection pane="bottomLeft" activeCell="A24" sqref="A24:XFD24"/>
    </sheetView>
  </sheetViews>
  <sheetFormatPr defaultRowHeight="14.25" x14ac:dyDescent="0.45"/>
  <cols>
    <col min="1" max="1" width="11.73046875" customWidth="1"/>
    <col min="2" max="2" width="31.265625" customWidth="1"/>
    <col min="3" max="3" width="17.73046875" customWidth="1"/>
    <col min="4" max="12" width="19.73046875" customWidth="1"/>
  </cols>
  <sheetData>
    <row r="1" spans="1:15" x14ac:dyDescent="0.45">
      <c r="A1" s="42"/>
    </row>
    <row r="2" spans="1:15" ht="21" x14ac:dyDescent="0.65">
      <c r="A2" s="1" t="s">
        <v>399</v>
      </c>
    </row>
    <row r="3" spans="1:15" x14ac:dyDescent="0.45">
      <c r="B3" s="7" t="s">
        <v>385</v>
      </c>
    </row>
    <row r="4" spans="1:15" x14ac:dyDescent="0.45">
      <c r="B4" s="7" t="s">
        <v>400</v>
      </c>
    </row>
    <row r="5" spans="1:15" x14ac:dyDescent="0.45">
      <c r="B5" s="7" t="s">
        <v>290</v>
      </c>
    </row>
    <row r="6" spans="1:15" x14ac:dyDescent="0.45">
      <c r="B6" s="7" t="s">
        <v>661</v>
      </c>
    </row>
    <row r="8" spans="1:15" s="2" customFormat="1" ht="28.5" x14ac:dyDescent="0.45">
      <c r="A8" s="26"/>
      <c r="B8" s="26"/>
      <c r="C8" s="26"/>
      <c r="D8" s="22" t="s">
        <v>136</v>
      </c>
      <c r="E8" s="103" t="s">
        <v>308</v>
      </c>
      <c r="F8" s="105"/>
      <c r="G8" s="105"/>
      <c r="H8" s="104"/>
      <c r="I8" s="103" t="s">
        <v>132</v>
      </c>
      <c r="J8" s="104"/>
      <c r="K8" s="102" t="s">
        <v>133</v>
      </c>
      <c r="L8" s="102"/>
    </row>
    <row r="9" spans="1:15" s="2" customFormat="1" ht="71.25" x14ac:dyDescent="0.45">
      <c r="A9" s="3" t="s">
        <v>134</v>
      </c>
      <c r="B9" s="3" t="s">
        <v>0</v>
      </c>
      <c r="C9" s="22" t="s">
        <v>410</v>
      </c>
      <c r="D9" s="22" t="s">
        <v>312</v>
      </c>
      <c r="E9" s="23" t="s">
        <v>313</v>
      </c>
      <c r="F9" s="23" t="s">
        <v>350</v>
      </c>
      <c r="G9" s="23" t="s">
        <v>315</v>
      </c>
      <c r="H9" s="23" t="s">
        <v>316</v>
      </c>
      <c r="I9" s="22" t="s">
        <v>317</v>
      </c>
      <c r="J9" s="22" t="s">
        <v>318</v>
      </c>
      <c r="K9" s="22" t="s">
        <v>319</v>
      </c>
      <c r="L9" s="22" t="s">
        <v>379</v>
      </c>
    </row>
    <row r="10" spans="1:15" s="5" customFormat="1" x14ac:dyDescent="0.45">
      <c r="A10" s="8" t="s">
        <v>394</v>
      </c>
      <c r="B10" s="25" t="s">
        <v>4</v>
      </c>
      <c r="C10" s="106">
        <v>17328</v>
      </c>
      <c r="D10" s="64">
        <v>0.7621</v>
      </c>
      <c r="E10" s="65" t="s">
        <v>651</v>
      </c>
      <c r="F10" s="65" t="s">
        <v>652</v>
      </c>
      <c r="G10" s="63">
        <v>0.53650010000000004</v>
      </c>
      <c r="H10" s="63">
        <v>0.64466378999999996</v>
      </c>
      <c r="I10" s="64">
        <v>0.56679999999999997</v>
      </c>
      <c r="J10" s="64">
        <v>0.26869999999999999</v>
      </c>
      <c r="K10" s="64">
        <v>0.87450000000000006</v>
      </c>
      <c r="L10" s="64">
        <v>0.5383</v>
      </c>
    </row>
    <row r="11" spans="1:15" s="7" customFormat="1" x14ac:dyDescent="0.45">
      <c r="A11" s="7" t="s">
        <v>394</v>
      </c>
      <c r="B11" s="7" t="s">
        <v>137</v>
      </c>
      <c r="C11" s="72">
        <v>794</v>
      </c>
      <c r="D11" s="21">
        <v>0.84130984544754028</v>
      </c>
      <c r="E11" s="27" t="s">
        <v>611</v>
      </c>
      <c r="F11" s="75" t="s">
        <v>629</v>
      </c>
      <c r="G11" s="21">
        <v>0.45812806487083441</v>
      </c>
      <c r="H11" s="21">
        <v>0.54679805040359497</v>
      </c>
      <c r="I11" s="21">
        <v>0.6846473217010498</v>
      </c>
      <c r="J11" s="21">
        <v>0.28940567374229431</v>
      </c>
      <c r="K11" s="21">
        <v>0.95175439119338989</v>
      </c>
      <c r="L11" s="21">
        <v>0.63853901624679565</v>
      </c>
      <c r="M11" s="28"/>
      <c r="N11" s="28"/>
      <c r="O11" s="28"/>
    </row>
    <row r="12" spans="1:15" s="7" customFormat="1" x14ac:dyDescent="0.45">
      <c r="A12" s="7" t="s">
        <v>394</v>
      </c>
      <c r="B12" s="7" t="s">
        <v>138</v>
      </c>
      <c r="C12" s="72">
        <v>1424</v>
      </c>
      <c r="D12" s="21">
        <v>0.69030898809432983</v>
      </c>
      <c r="E12" s="27" t="s">
        <v>612</v>
      </c>
      <c r="F12" s="75" t="s">
        <v>630</v>
      </c>
      <c r="G12" s="21">
        <v>0.44764396548271179</v>
      </c>
      <c r="H12" s="21">
        <v>0.59424084424972534</v>
      </c>
      <c r="I12" s="21">
        <v>0.55123674869537354</v>
      </c>
      <c r="J12" s="21">
        <v>0.25999999046325678</v>
      </c>
      <c r="K12" s="21">
        <v>0.88181817531585693</v>
      </c>
      <c r="L12" s="21">
        <v>0.49719101190567022</v>
      </c>
      <c r="M12" s="28"/>
      <c r="N12" s="28"/>
      <c r="O12" s="28"/>
    </row>
    <row r="13" spans="1:15" s="7" customFormat="1" x14ac:dyDescent="0.45">
      <c r="A13" s="7" t="s">
        <v>394</v>
      </c>
      <c r="B13" s="7" t="s">
        <v>289</v>
      </c>
      <c r="C13" s="72">
        <v>1968</v>
      </c>
      <c r="D13" s="21">
        <v>0.75813007354736328</v>
      </c>
      <c r="E13" s="27" t="s">
        <v>613</v>
      </c>
      <c r="F13" s="75" t="s">
        <v>631</v>
      </c>
      <c r="G13" s="21">
        <v>0.53191488981246948</v>
      </c>
      <c r="H13" s="21">
        <v>0.66843974590301514</v>
      </c>
      <c r="I13" s="21">
        <v>0.45817491412162781</v>
      </c>
      <c r="J13" s="21">
        <v>0.2381930202245712</v>
      </c>
      <c r="K13" s="21">
        <v>0.81484878063201904</v>
      </c>
      <c r="L13" s="21">
        <v>0.48272356390953058</v>
      </c>
      <c r="M13" s="28"/>
      <c r="N13" s="28"/>
      <c r="O13" s="28"/>
    </row>
    <row r="14" spans="1:15" s="7" customFormat="1" x14ac:dyDescent="0.45">
      <c r="A14" s="7" t="s">
        <v>394</v>
      </c>
      <c r="B14" s="7" t="s">
        <v>139</v>
      </c>
      <c r="C14" s="72">
        <v>803</v>
      </c>
      <c r="D14" s="21">
        <v>0.70983809232711792</v>
      </c>
      <c r="E14" s="27" t="s">
        <v>614</v>
      </c>
      <c r="F14" s="75" t="s">
        <v>632</v>
      </c>
      <c r="G14" s="21">
        <v>0.53061223030090332</v>
      </c>
      <c r="H14" s="21">
        <v>0.60408163070678711</v>
      </c>
      <c r="I14" s="21">
        <v>0.58267718553543091</v>
      </c>
      <c r="J14" s="21">
        <v>0.28101265430450439</v>
      </c>
      <c r="K14" s="21">
        <v>0.96652722358703613</v>
      </c>
      <c r="L14" s="21">
        <v>0.6201743483543396</v>
      </c>
      <c r="M14" s="28"/>
      <c r="N14" s="28"/>
      <c r="O14" s="28"/>
    </row>
    <row r="15" spans="1:15" s="7" customFormat="1" x14ac:dyDescent="0.45">
      <c r="A15" s="7" t="s">
        <v>394</v>
      </c>
      <c r="B15" s="7" t="s">
        <v>140</v>
      </c>
      <c r="C15" s="72">
        <v>552</v>
      </c>
      <c r="D15" s="21">
        <v>0.8387681245803833</v>
      </c>
      <c r="E15" s="27" t="s">
        <v>615</v>
      </c>
      <c r="F15" s="75" t="s">
        <v>633</v>
      </c>
      <c r="G15" s="21">
        <v>0.45625001192092901</v>
      </c>
      <c r="H15" s="21">
        <v>0.58125001192092896</v>
      </c>
      <c r="I15" s="21">
        <v>0.65333330631256104</v>
      </c>
      <c r="J15" s="21">
        <v>0.25185185670852661</v>
      </c>
      <c r="K15" s="21">
        <v>0.89969605207443237</v>
      </c>
      <c r="L15" s="21">
        <v>0.53260868787765503</v>
      </c>
      <c r="M15" s="28"/>
      <c r="N15" s="28"/>
      <c r="O15" s="28"/>
    </row>
    <row r="16" spans="1:15" s="7" customFormat="1" x14ac:dyDescent="0.45">
      <c r="A16" s="7" t="s">
        <v>394</v>
      </c>
      <c r="B16" s="7" t="s">
        <v>141</v>
      </c>
      <c r="C16" s="72">
        <v>591</v>
      </c>
      <c r="D16" s="21">
        <v>0.61759728193283081</v>
      </c>
      <c r="E16" s="27" t="s">
        <v>616</v>
      </c>
      <c r="F16" s="75" t="s">
        <v>634</v>
      </c>
      <c r="G16" s="21">
        <v>0.55555558204650879</v>
      </c>
      <c r="H16" s="21">
        <v>0.62962961196899414</v>
      </c>
      <c r="I16" s="21">
        <v>0.5590062141418457</v>
      </c>
      <c r="J16" s="21">
        <v>0.2557252049446106</v>
      </c>
      <c r="K16" s="21">
        <v>0.90697675943374634</v>
      </c>
      <c r="L16" s="21">
        <v>0.53807103633880615</v>
      </c>
      <c r="M16" s="28"/>
      <c r="N16" s="28"/>
      <c r="O16" s="28"/>
    </row>
    <row r="17" spans="1:15" s="7" customFormat="1" x14ac:dyDescent="0.45">
      <c r="A17" s="7" t="s">
        <v>394</v>
      </c>
      <c r="B17" s="7" t="s">
        <v>142</v>
      </c>
      <c r="C17" s="72">
        <v>462</v>
      </c>
      <c r="D17" s="21">
        <v>0.88311690092086792</v>
      </c>
      <c r="E17" s="27" t="s">
        <v>617</v>
      </c>
      <c r="F17" s="75" t="s">
        <v>635</v>
      </c>
      <c r="G17" s="21">
        <v>0.54166668653488159</v>
      </c>
      <c r="H17" s="21">
        <v>0.61904764175415039</v>
      </c>
      <c r="I17" s="21">
        <v>0.60975611209869385</v>
      </c>
      <c r="J17" s="21">
        <v>0.20647773146629331</v>
      </c>
      <c r="K17" s="21">
        <v>0.86501377820968628</v>
      </c>
      <c r="L17" s="21">
        <v>0.52164500951766968</v>
      </c>
      <c r="M17" s="28"/>
      <c r="N17" s="28"/>
      <c r="O17" s="28"/>
    </row>
    <row r="18" spans="1:15" s="7" customFormat="1" x14ac:dyDescent="0.45">
      <c r="A18" s="7" t="s">
        <v>394</v>
      </c>
      <c r="B18" s="7" t="s">
        <v>143</v>
      </c>
      <c r="C18" s="72">
        <v>443</v>
      </c>
      <c r="D18" s="76">
        <v>0.64334088563919067</v>
      </c>
      <c r="E18" s="27" t="s">
        <v>618</v>
      </c>
      <c r="F18" s="75" t="s">
        <v>636</v>
      </c>
      <c r="G18" s="76">
        <v>0.48461538553237921</v>
      </c>
      <c r="H18" s="76">
        <v>0.57692307233810425</v>
      </c>
      <c r="I18" s="76">
        <v>0.88461536169052124</v>
      </c>
      <c r="J18" s="76">
        <v>0.5</v>
      </c>
      <c r="K18" s="76">
        <v>0.96116507053375244</v>
      </c>
      <c r="L18" s="76">
        <v>0.60270881652832031</v>
      </c>
      <c r="M18" s="28"/>
      <c r="N18" s="28"/>
      <c r="O18" s="28"/>
    </row>
    <row r="19" spans="1:15" s="7" customFormat="1" x14ac:dyDescent="0.45">
      <c r="A19" s="7" t="s">
        <v>394</v>
      </c>
      <c r="B19" s="7" t="s">
        <v>144</v>
      </c>
      <c r="C19" s="72">
        <v>367</v>
      </c>
      <c r="D19" s="21">
        <v>0.76021796464920044</v>
      </c>
      <c r="E19" s="27" t="s">
        <v>619</v>
      </c>
      <c r="F19" s="75" t="s">
        <v>637</v>
      </c>
      <c r="G19" s="21">
        <v>0.52173912525177002</v>
      </c>
      <c r="H19" s="21">
        <v>0.58695650100708008</v>
      </c>
      <c r="I19" s="21">
        <v>0.56310677528381348</v>
      </c>
      <c r="J19" s="21">
        <v>0.28742516040802002</v>
      </c>
      <c r="K19" s="21">
        <v>0.86956518888473511</v>
      </c>
      <c r="L19" s="21">
        <v>0.47138965129852289</v>
      </c>
      <c r="M19" s="28"/>
      <c r="N19" s="28"/>
      <c r="O19" s="28"/>
    </row>
    <row r="20" spans="1:15" s="7" customFormat="1" x14ac:dyDescent="0.45">
      <c r="A20" s="7" t="s">
        <v>394</v>
      </c>
      <c r="B20" s="7" t="s">
        <v>145</v>
      </c>
      <c r="C20" s="72">
        <v>1126</v>
      </c>
      <c r="D20" s="21">
        <v>0.74866783618927002</v>
      </c>
      <c r="E20" s="27" t="s">
        <v>620</v>
      </c>
      <c r="F20" s="75" t="s">
        <v>638</v>
      </c>
      <c r="G20" s="21">
        <v>0.47651007771491999</v>
      </c>
      <c r="H20" s="21">
        <v>0.58724832534790039</v>
      </c>
      <c r="I20" s="21">
        <v>0.56722688674926758</v>
      </c>
      <c r="J20" s="21">
        <v>0.25373134016990662</v>
      </c>
      <c r="K20" s="21">
        <v>0.7289854884147644</v>
      </c>
      <c r="L20" s="21">
        <v>0.52930730581283569</v>
      </c>
      <c r="M20" s="28"/>
      <c r="N20" s="28"/>
      <c r="O20" s="28"/>
    </row>
    <row r="21" spans="1:15" s="7" customFormat="1" x14ac:dyDescent="0.45">
      <c r="A21" s="7" t="s">
        <v>394</v>
      </c>
      <c r="B21" s="7" t="s">
        <v>146</v>
      </c>
      <c r="C21" s="72">
        <v>716</v>
      </c>
      <c r="D21" s="21">
        <v>0.80027931928634644</v>
      </c>
      <c r="E21" s="27" t="s">
        <v>621</v>
      </c>
      <c r="F21" s="75" t="s">
        <v>639</v>
      </c>
      <c r="G21" s="21">
        <v>0.61382114887237549</v>
      </c>
      <c r="H21" s="21">
        <v>0.71544712781906128</v>
      </c>
      <c r="I21" s="21">
        <v>0.48458150029182429</v>
      </c>
      <c r="J21" s="21">
        <v>0.27397260069847112</v>
      </c>
      <c r="K21" s="21">
        <v>0.9508928656578064</v>
      </c>
      <c r="L21" s="21">
        <v>0.52094972133636475</v>
      </c>
      <c r="M21" s="28"/>
      <c r="N21" s="28"/>
      <c r="O21" s="28"/>
    </row>
    <row r="22" spans="1:15" s="7" customFormat="1" x14ac:dyDescent="0.45">
      <c r="A22" s="7" t="s">
        <v>394</v>
      </c>
      <c r="B22" s="7" t="s">
        <v>406</v>
      </c>
      <c r="C22" s="72">
        <v>860</v>
      </c>
      <c r="D22" s="21">
        <v>0.71860462427139282</v>
      </c>
      <c r="E22" s="27" t="s">
        <v>622</v>
      </c>
      <c r="F22" s="75" t="s">
        <v>640</v>
      </c>
      <c r="G22" s="21">
        <v>0.4375</v>
      </c>
      <c r="H22" s="21">
        <v>0.5625</v>
      </c>
      <c r="I22" s="21">
        <v>0.67916667461395264</v>
      </c>
      <c r="J22" s="21">
        <v>0.40453073382377619</v>
      </c>
      <c r="K22" s="21">
        <v>0.95076924562454224</v>
      </c>
      <c r="L22" s="21">
        <v>0.49302324652671808</v>
      </c>
      <c r="M22" s="28"/>
      <c r="N22" s="28"/>
      <c r="O22" s="28"/>
    </row>
    <row r="23" spans="1:15" s="7" customFormat="1" x14ac:dyDescent="0.45">
      <c r="A23" s="7" t="s">
        <v>394</v>
      </c>
      <c r="B23" s="7" t="s">
        <v>147</v>
      </c>
      <c r="C23" s="72">
        <v>922</v>
      </c>
      <c r="D23" s="21">
        <v>0.84056401252746582</v>
      </c>
      <c r="E23" s="27" t="s">
        <v>292</v>
      </c>
      <c r="F23" s="75" t="s">
        <v>641</v>
      </c>
      <c r="G23" s="21">
        <v>0.5961538553237915</v>
      </c>
      <c r="H23" s="21">
        <v>0.72692304849624634</v>
      </c>
      <c r="I23" s="21">
        <v>0.46938776969909668</v>
      </c>
      <c r="J23" s="21">
        <v>0.2505643367767334</v>
      </c>
      <c r="K23" s="21">
        <v>0.88453161716461182</v>
      </c>
      <c r="L23" s="21">
        <v>0.56941431760787964</v>
      </c>
      <c r="M23" s="28"/>
      <c r="N23" s="28"/>
      <c r="O23" s="28"/>
    </row>
    <row r="24" spans="1:15" s="7" customFormat="1" x14ac:dyDescent="0.45">
      <c r="A24" s="7" t="s">
        <v>394</v>
      </c>
      <c r="B24" s="7" t="s">
        <v>148</v>
      </c>
      <c r="C24" s="72">
        <v>475</v>
      </c>
      <c r="D24" s="21">
        <v>0.80842107534408569</v>
      </c>
      <c r="E24" s="27" t="s">
        <v>623</v>
      </c>
      <c r="F24" s="75" t="s">
        <v>642</v>
      </c>
      <c r="G24" s="21">
        <v>0.5</v>
      </c>
      <c r="H24" s="21">
        <v>0.61016947031021118</v>
      </c>
      <c r="I24" s="21">
        <v>0.74331551790237427</v>
      </c>
      <c r="J24" s="21">
        <v>0.35220125317573547</v>
      </c>
      <c r="K24" s="21">
        <v>0.98376625776290894</v>
      </c>
      <c r="L24" s="21">
        <v>0.59157896041870117</v>
      </c>
      <c r="M24" s="28"/>
      <c r="N24" s="28"/>
      <c r="O24" s="28"/>
    </row>
    <row r="25" spans="1:15" s="7" customFormat="1" x14ac:dyDescent="0.45">
      <c r="A25" s="7" t="s">
        <v>394</v>
      </c>
      <c r="B25" s="7" t="s">
        <v>149</v>
      </c>
      <c r="C25" s="72">
        <v>560</v>
      </c>
      <c r="D25" s="21">
        <v>0.57142859697341919</v>
      </c>
      <c r="E25" s="27" t="s">
        <v>624</v>
      </c>
      <c r="F25" s="75" t="s">
        <v>643</v>
      </c>
      <c r="G25" s="21">
        <v>0.59574466943740845</v>
      </c>
      <c r="H25" s="21">
        <v>0.673758864402771</v>
      </c>
      <c r="I25" s="21">
        <v>0.50943398475646973</v>
      </c>
      <c r="J25" s="21">
        <v>0.2321428507566452</v>
      </c>
      <c r="K25" s="21">
        <v>0.96415770053863525</v>
      </c>
      <c r="L25" s="21">
        <v>0.42500001192092901</v>
      </c>
      <c r="M25" s="28"/>
      <c r="N25" s="28"/>
      <c r="O25" s="28"/>
    </row>
    <row r="26" spans="1:15" s="7" customFormat="1" x14ac:dyDescent="0.45">
      <c r="A26" s="7" t="s">
        <v>394</v>
      </c>
      <c r="B26" s="7" t="s">
        <v>150</v>
      </c>
      <c r="C26" s="72">
        <v>1151</v>
      </c>
      <c r="D26" s="21">
        <v>0.7775847315788269</v>
      </c>
      <c r="E26" s="27" t="s">
        <v>493</v>
      </c>
      <c r="F26" s="75" t="s">
        <v>644</v>
      </c>
      <c r="G26" s="21">
        <v>0.63835614919662476</v>
      </c>
      <c r="H26" s="21">
        <v>0.7315068244934082</v>
      </c>
      <c r="I26" s="21">
        <v>0.61678832769393921</v>
      </c>
      <c r="J26" s="21">
        <v>0.22637362778186801</v>
      </c>
      <c r="K26" s="21">
        <v>0.96559631824493408</v>
      </c>
      <c r="L26" s="21">
        <v>0.56472635269165039</v>
      </c>
      <c r="M26" s="28"/>
      <c r="N26" s="28"/>
      <c r="O26" s="28"/>
    </row>
    <row r="27" spans="1:15" s="7" customFormat="1" x14ac:dyDescent="0.45">
      <c r="A27" s="7" t="s">
        <v>394</v>
      </c>
      <c r="B27" s="7" t="s">
        <v>151</v>
      </c>
      <c r="C27" s="72">
        <v>603</v>
      </c>
      <c r="D27" s="21">
        <v>0.68325042724609375</v>
      </c>
      <c r="E27" s="27" t="s">
        <v>625</v>
      </c>
      <c r="F27" s="75" t="s">
        <v>645</v>
      </c>
      <c r="G27" s="21">
        <v>0.60571426153182983</v>
      </c>
      <c r="H27" s="21">
        <v>0.691428542137146</v>
      </c>
      <c r="I27" s="21">
        <v>0.53703701496124268</v>
      </c>
      <c r="J27" s="21">
        <v>0.30769231915473938</v>
      </c>
      <c r="K27" s="21">
        <v>0.94933921098709106</v>
      </c>
      <c r="L27" s="21">
        <v>0.57213932275772095</v>
      </c>
      <c r="M27" s="28"/>
      <c r="N27" s="28"/>
      <c r="O27" s="28"/>
    </row>
    <row r="28" spans="1:15" s="7" customFormat="1" x14ac:dyDescent="0.45">
      <c r="A28" s="7" t="s">
        <v>394</v>
      </c>
      <c r="B28" s="7" t="s">
        <v>152</v>
      </c>
      <c r="C28" s="72">
        <v>944</v>
      </c>
      <c r="D28" s="21">
        <v>0.87288135290145874</v>
      </c>
      <c r="E28" s="27" t="s">
        <v>626</v>
      </c>
      <c r="F28" s="75" t="s">
        <v>646</v>
      </c>
      <c r="G28" s="21">
        <v>0.60975611209869385</v>
      </c>
      <c r="H28" s="21">
        <v>0.70383274555206299</v>
      </c>
      <c r="I28" s="21">
        <v>0.50833332538604736</v>
      </c>
      <c r="J28" s="21">
        <v>0.22875817120075231</v>
      </c>
      <c r="K28" s="21">
        <v>0.92449355125427246</v>
      </c>
      <c r="L28" s="21">
        <v>0.51906782388687134</v>
      </c>
      <c r="M28" s="28"/>
      <c r="N28" s="28"/>
      <c r="O28" s="28"/>
    </row>
    <row r="29" spans="1:15" s="7" customFormat="1" x14ac:dyDescent="0.45">
      <c r="A29" s="7" t="s">
        <v>394</v>
      </c>
      <c r="B29" s="7" t="s">
        <v>153</v>
      </c>
      <c r="C29" s="72">
        <v>1730</v>
      </c>
      <c r="D29" s="21">
        <v>0.78150290250778198</v>
      </c>
      <c r="E29" s="27" t="s">
        <v>627</v>
      </c>
      <c r="F29" s="75" t="s">
        <v>647</v>
      </c>
      <c r="G29" s="21">
        <v>0.56818181276321411</v>
      </c>
      <c r="H29" s="21">
        <v>0.66919189691543579</v>
      </c>
      <c r="I29" s="21">
        <v>0.58285713195800781</v>
      </c>
      <c r="J29" s="21">
        <v>0.2756827175617218</v>
      </c>
      <c r="K29" s="21">
        <v>0.90729784965515137</v>
      </c>
      <c r="L29" s="21">
        <v>0.53526014089584351</v>
      </c>
      <c r="M29" s="28"/>
      <c r="N29" s="28"/>
      <c r="O29" s="28"/>
    </row>
    <row r="30" spans="1:15" s="7" customFormat="1" x14ac:dyDescent="0.45">
      <c r="A30" s="7" t="s">
        <v>394</v>
      </c>
      <c r="B30" s="7" t="s">
        <v>154</v>
      </c>
      <c r="C30" s="72">
        <v>788</v>
      </c>
      <c r="D30" s="21">
        <v>0.87817257642745972</v>
      </c>
      <c r="E30" s="27" t="s">
        <v>628</v>
      </c>
      <c r="F30" s="75" t="s">
        <v>648</v>
      </c>
      <c r="G30" s="21">
        <v>0.49590164422988892</v>
      </c>
      <c r="H30" s="21">
        <v>0.63114756345748901</v>
      </c>
      <c r="I30" s="21">
        <v>0.55384618043899536</v>
      </c>
      <c r="J30" s="21">
        <v>0.2842639684677124</v>
      </c>
      <c r="K30" s="21">
        <v>0.57142859697341919</v>
      </c>
      <c r="L30" s="21">
        <v>0.63705581426620483</v>
      </c>
      <c r="M30" s="28"/>
      <c r="N30" s="28"/>
      <c r="O30" s="28"/>
    </row>
    <row r="31" spans="1:15" s="7" customFormat="1" x14ac:dyDescent="0.45">
      <c r="C31" s="10"/>
      <c r="D31" s="11"/>
      <c r="E31" s="28"/>
      <c r="F31" s="28"/>
      <c r="G31" s="11"/>
      <c r="H31" s="11"/>
      <c r="I31" s="11"/>
      <c r="J31" s="11"/>
      <c r="K31" s="11"/>
      <c r="L31" s="11"/>
      <c r="M31" s="28"/>
      <c r="N31" s="28"/>
      <c r="O31" s="28"/>
    </row>
    <row r="32" spans="1:15" s="7" customFormat="1" x14ac:dyDescent="0.45">
      <c r="C32" s="28"/>
      <c r="D32" s="29"/>
      <c r="E32" s="28"/>
      <c r="F32" s="28"/>
      <c r="G32" s="28"/>
      <c r="H32" s="28"/>
      <c r="I32" s="28"/>
      <c r="J32" s="28"/>
      <c r="K32" s="29"/>
      <c r="L32" s="30"/>
      <c r="M32" s="28"/>
      <c r="N32" s="28"/>
      <c r="O32" s="28"/>
    </row>
    <row r="33" spans="2:3" s="7" customFormat="1" x14ac:dyDescent="0.45">
      <c r="B33" s="54" t="s">
        <v>279</v>
      </c>
      <c r="C33" s="54" t="s">
        <v>280</v>
      </c>
    </row>
  </sheetData>
  <mergeCells count="3">
    <mergeCell ref="I8:J8"/>
    <mergeCell ref="K8:L8"/>
    <mergeCell ref="E8:H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9"/>
  <sheetViews>
    <sheetView workbookViewId="0">
      <selection activeCell="M30" sqref="M30"/>
    </sheetView>
  </sheetViews>
  <sheetFormatPr defaultRowHeight="14.25" x14ac:dyDescent="0.45"/>
  <cols>
    <col min="2" max="2" width="11" customWidth="1"/>
    <col min="3" max="3" width="33.265625" customWidth="1"/>
    <col min="4" max="5" width="10.73046875" customWidth="1"/>
    <col min="6" max="9" width="15" customWidth="1"/>
    <col min="10" max="10" width="17.59765625" customWidth="1"/>
    <col min="11" max="14" width="15" customWidth="1"/>
    <col min="15" max="16" width="14.86328125" customWidth="1"/>
  </cols>
  <sheetData>
    <row r="1" spans="1:16" x14ac:dyDescent="0.45">
      <c r="A1" s="42"/>
    </row>
    <row r="2" spans="1:16" ht="21" x14ac:dyDescent="0.65">
      <c r="A2" s="1" t="s">
        <v>669</v>
      </c>
    </row>
    <row r="3" spans="1:16" x14ac:dyDescent="0.45">
      <c r="B3" s="7" t="s">
        <v>347</v>
      </c>
    </row>
    <row r="4" spans="1:16" x14ac:dyDescent="0.45">
      <c r="B4" s="7" t="s">
        <v>348</v>
      </c>
    </row>
    <row r="6" spans="1:16" s="7" customFormat="1" x14ac:dyDescent="0.45"/>
    <row r="7" spans="1:16" s="7" customFormat="1" x14ac:dyDescent="0.45">
      <c r="B7" s="26"/>
      <c r="C7" s="26"/>
      <c r="D7" s="84"/>
      <c r="E7" s="102" t="s">
        <v>349</v>
      </c>
      <c r="F7" s="102"/>
      <c r="G7" s="102"/>
      <c r="H7" s="102"/>
      <c r="I7" s="102"/>
      <c r="J7" s="102"/>
      <c r="K7" s="102"/>
      <c r="L7" s="102"/>
      <c r="M7" s="103" t="s">
        <v>132</v>
      </c>
      <c r="N7" s="104"/>
      <c r="O7" s="102" t="s">
        <v>386</v>
      </c>
      <c r="P7" s="102"/>
    </row>
    <row r="8" spans="1:16" s="7" customFormat="1" ht="105.75" customHeight="1" x14ac:dyDescent="0.45">
      <c r="A8" s="3" t="s">
        <v>284</v>
      </c>
      <c r="B8" s="12" t="s">
        <v>337</v>
      </c>
      <c r="C8" s="12" t="s">
        <v>345</v>
      </c>
      <c r="D8" s="22" t="s">
        <v>668</v>
      </c>
      <c r="E8" s="22" t="s">
        <v>670</v>
      </c>
      <c r="F8" s="23" t="s">
        <v>313</v>
      </c>
      <c r="G8" s="22" t="s">
        <v>671</v>
      </c>
      <c r="H8" s="23" t="s">
        <v>314</v>
      </c>
      <c r="I8" s="22" t="s">
        <v>672</v>
      </c>
      <c r="J8" s="23" t="s">
        <v>350</v>
      </c>
      <c r="K8" s="23" t="s">
        <v>351</v>
      </c>
      <c r="L8" s="23" t="s">
        <v>352</v>
      </c>
      <c r="M8" s="22" t="s">
        <v>353</v>
      </c>
      <c r="N8" s="22" t="s">
        <v>354</v>
      </c>
      <c r="O8" s="22" t="s">
        <v>387</v>
      </c>
      <c r="P8" s="22" t="s">
        <v>388</v>
      </c>
    </row>
    <row r="9" spans="1:16" s="7" customFormat="1" x14ac:dyDescent="0.45">
      <c r="A9" s="7" t="s">
        <v>665</v>
      </c>
      <c r="B9" s="96" t="s">
        <v>336</v>
      </c>
      <c r="C9" s="96"/>
      <c r="D9" s="80">
        <v>926</v>
      </c>
      <c r="E9" s="80">
        <v>297</v>
      </c>
      <c r="F9" s="49" t="s">
        <v>673</v>
      </c>
      <c r="G9" s="49">
        <v>110</v>
      </c>
      <c r="H9" s="49" t="s">
        <v>700</v>
      </c>
      <c r="I9" s="49">
        <v>107</v>
      </c>
      <c r="J9" s="49" t="s">
        <v>702</v>
      </c>
      <c r="K9" s="9">
        <f>152/297</f>
        <v>0.51178451178451179</v>
      </c>
      <c r="L9" s="9">
        <f>179/297</f>
        <v>0.60269360269360273</v>
      </c>
      <c r="M9" s="9">
        <f>119/235</f>
        <v>0.50638297872340421</v>
      </c>
      <c r="N9" s="9">
        <f>105/429</f>
        <v>0.24475524475524477</v>
      </c>
      <c r="O9" s="44">
        <v>0.52</v>
      </c>
      <c r="P9" s="44">
        <v>0.23</v>
      </c>
    </row>
    <row r="10" spans="1:16" s="7" customFormat="1" x14ac:dyDescent="0.45">
      <c r="A10" s="7" t="s">
        <v>665</v>
      </c>
      <c r="B10" s="7" t="s">
        <v>324</v>
      </c>
      <c r="C10" s="7" t="s">
        <v>325</v>
      </c>
      <c r="D10" s="28">
        <v>214</v>
      </c>
      <c r="E10" s="28">
        <v>81</v>
      </c>
      <c r="F10" s="28" t="s">
        <v>674</v>
      </c>
      <c r="G10" s="28">
        <v>34</v>
      </c>
      <c r="H10" s="28" t="s">
        <v>701</v>
      </c>
      <c r="I10" s="28">
        <v>32</v>
      </c>
      <c r="J10" s="28" t="s">
        <v>703</v>
      </c>
      <c r="K10" s="21">
        <f>44/81</f>
        <v>0.54320987654320985</v>
      </c>
      <c r="L10" s="21">
        <f>52/81</f>
        <v>0.64197530864197527</v>
      </c>
      <c r="M10" s="21">
        <f>40/68</f>
        <v>0.58823529411764708</v>
      </c>
      <c r="N10" s="21">
        <f>29/123</f>
        <v>0.23577235772357724</v>
      </c>
      <c r="O10" s="47">
        <v>0.5039091</v>
      </c>
      <c r="P10" s="47">
        <v>0.22706899999999999</v>
      </c>
    </row>
    <row r="11" spans="1:16" s="7" customFormat="1" x14ac:dyDescent="0.45">
      <c r="A11" s="7" t="s">
        <v>665</v>
      </c>
      <c r="B11" s="7" t="s">
        <v>326</v>
      </c>
      <c r="C11" s="7" t="s">
        <v>327</v>
      </c>
      <c r="D11" s="28">
        <v>135</v>
      </c>
      <c r="E11" s="28">
        <v>42</v>
      </c>
      <c r="F11" s="28" t="s">
        <v>675</v>
      </c>
      <c r="G11" s="28" t="s">
        <v>676</v>
      </c>
      <c r="H11" s="28" t="s">
        <v>135</v>
      </c>
      <c r="I11" s="28" t="s">
        <v>676</v>
      </c>
      <c r="J11" s="28" t="s">
        <v>135</v>
      </c>
      <c r="K11" s="21">
        <f>24/42</f>
        <v>0.5714285714285714</v>
      </c>
      <c r="L11" s="21">
        <f>27/42</f>
        <v>0.6428571428571429</v>
      </c>
      <c r="M11" s="21">
        <f>15/44</f>
        <v>0.34090909090909088</v>
      </c>
      <c r="N11" s="47">
        <f>15/81</f>
        <v>0.18518518518518517</v>
      </c>
      <c r="O11" s="47">
        <v>0.48363010000000001</v>
      </c>
      <c r="P11" s="47">
        <v>0.19375390000000001</v>
      </c>
    </row>
    <row r="12" spans="1:16" s="7" customFormat="1" x14ac:dyDescent="0.45">
      <c r="A12" s="7" t="s">
        <v>665</v>
      </c>
      <c r="B12" s="7" t="s">
        <v>328</v>
      </c>
      <c r="C12" s="7" t="s">
        <v>329</v>
      </c>
      <c r="D12" s="28">
        <v>181</v>
      </c>
      <c r="E12" s="28">
        <v>70</v>
      </c>
      <c r="F12" s="28" t="s">
        <v>677</v>
      </c>
      <c r="G12" s="28">
        <v>30</v>
      </c>
      <c r="H12" s="28" t="s">
        <v>678</v>
      </c>
      <c r="I12" s="28">
        <v>30</v>
      </c>
      <c r="J12" s="28" t="s">
        <v>679</v>
      </c>
      <c r="K12" s="21">
        <f>34/70</f>
        <v>0.48571428571428571</v>
      </c>
      <c r="L12" s="21">
        <f>36/70</f>
        <v>0.51428571428571423</v>
      </c>
      <c r="M12" s="21">
        <f>32/53</f>
        <v>0.60377358490566035</v>
      </c>
      <c r="N12" s="21">
        <f>21/70</f>
        <v>0.3</v>
      </c>
      <c r="O12" s="47">
        <v>0.52313580000000004</v>
      </c>
      <c r="P12" s="47">
        <v>0.23125390000000001</v>
      </c>
    </row>
    <row r="13" spans="1:16" s="7" customFormat="1" x14ac:dyDescent="0.45">
      <c r="A13" s="7" t="s">
        <v>665</v>
      </c>
      <c r="B13" s="7" t="s">
        <v>330</v>
      </c>
      <c r="C13" s="7" t="s">
        <v>331</v>
      </c>
      <c r="D13" s="28">
        <v>121</v>
      </c>
      <c r="E13" s="28">
        <v>25</v>
      </c>
      <c r="F13" s="28" t="s">
        <v>680</v>
      </c>
      <c r="G13" s="28" t="s">
        <v>676</v>
      </c>
      <c r="H13" s="28" t="s">
        <v>135</v>
      </c>
      <c r="I13" s="28" t="s">
        <v>676</v>
      </c>
      <c r="J13" s="28" t="s">
        <v>135</v>
      </c>
      <c r="K13" s="21">
        <f>8/25</f>
        <v>0.32</v>
      </c>
      <c r="L13" s="21">
        <f>10/25</f>
        <v>0.4</v>
      </c>
      <c r="M13" s="46" t="s">
        <v>135</v>
      </c>
      <c r="N13" s="46" t="s">
        <v>135</v>
      </c>
      <c r="O13" s="47">
        <v>0.60388209999999998</v>
      </c>
      <c r="P13" s="47">
        <v>0.28842089999999998</v>
      </c>
    </row>
    <row r="14" spans="1:16" s="7" customFormat="1" x14ac:dyDescent="0.45">
      <c r="A14" s="7" t="s">
        <v>665</v>
      </c>
      <c r="B14" s="7" t="s">
        <v>332</v>
      </c>
      <c r="C14" s="7" t="s">
        <v>333</v>
      </c>
      <c r="D14" s="28">
        <v>109</v>
      </c>
      <c r="E14" s="28">
        <v>38</v>
      </c>
      <c r="F14" s="28" t="s">
        <v>681</v>
      </c>
      <c r="G14" s="28" t="s">
        <v>676</v>
      </c>
      <c r="H14" s="28" t="s">
        <v>135</v>
      </c>
      <c r="I14" s="28" t="s">
        <v>676</v>
      </c>
      <c r="J14" s="28" t="s">
        <v>135</v>
      </c>
      <c r="K14" s="21">
        <f>18/38</f>
        <v>0.47368421052631576</v>
      </c>
      <c r="L14" s="21">
        <f>25/38</f>
        <v>0.65789473684210531</v>
      </c>
      <c r="M14" s="46" t="s">
        <v>135</v>
      </c>
      <c r="N14" s="21">
        <f>14/55</f>
        <v>0.25454545454545452</v>
      </c>
      <c r="O14" s="47">
        <v>0.54187450000000004</v>
      </c>
      <c r="P14" s="47">
        <v>0.22131809999999999</v>
      </c>
    </row>
    <row r="15" spans="1:16" s="7" customFormat="1" x14ac:dyDescent="0.45">
      <c r="A15" s="7" t="s">
        <v>665</v>
      </c>
      <c r="B15" s="7" t="s">
        <v>334</v>
      </c>
      <c r="C15" s="7" t="s">
        <v>335</v>
      </c>
      <c r="D15" s="28">
        <v>166</v>
      </c>
      <c r="E15" s="28">
        <v>41</v>
      </c>
      <c r="F15" s="28" t="s">
        <v>682</v>
      </c>
      <c r="G15" s="28" t="s">
        <v>676</v>
      </c>
      <c r="H15" s="28" t="s">
        <v>135</v>
      </c>
      <c r="I15" s="28" t="s">
        <v>676</v>
      </c>
      <c r="J15" s="28" t="s">
        <v>135</v>
      </c>
      <c r="K15" s="21">
        <f>24/41</f>
        <v>0.58536585365853655</v>
      </c>
      <c r="L15" s="21">
        <f>29/41</f>
        <v>0.70731707317073167</v>
      </c>
      <c r="M15" s="21">
        <f>21/43</f>
        <v>0.48837209302325579</v>
      </c>
      <c r="N15" s="21">
        <f>22/87</f>
        <v>0.25287356321839083</v>
      </c>
      <c r="O15" s="47">
        <v>0.5112833</v>
      </c>
      <c r="P15" s="47">
        <v>0.22788829999999999</v>
      </c>
    </row>
    <row r="16" spans="1:16" x14ac:dyDescent="0.45">
      <c r="D16" s="4"/>
      <c r="E16" s="4"/>
    </row>
    <row r="19" spans="3:5" x14ac:dyDescent="0.45">
      <c r="C19" s="27" t="s">
        <v>135</v>
      </c>
      <c r="D19" s="7" t="s">
        <v>346</v>
      </c>
      <c r="E19" s="7"/>
    </row>
  </sheetData>
  <mergeCells count="4">
    <mergeCell ref="O7:P7"/>
    <mergeCell ref="B9:C9"/>
    <mergeCell ref="M7:N7"/>
    <mergeCell ref="E7:L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39"/>
  <sheetViews>
    <sheetView tabSelected="1" zoomScaleNormal="100" workbookViewId="0">
      <pane ySplit="9" topLeftCell="A10" activePane="bottomLeft" state="frozen"/>
      <selection pane="bottomLeft" activeCell="C18" sqref="C18"/>
    </sheetView>
  </sheetViews>
  <sheetFormatPr defaultRowHeight="14.25" x14ac:dyDescent="0.45"/>
  <cols>
    <col min="1" max="1" width="11.73046875" customWidth="1"/>
    <col min="2" max="2" width="16.73046875" customWidth="1"/>
    <col min="3" max="3" width="14.265625" customWidth="1"/>
    <col min="4" max="4" width="59.265625" customWidth="1"/>
    <col min="5" max="6" width="17.73046875" customWidth="1"/>
    <col min="7" max="10" width="19.73046875" customWidth="1"/>
  </cols>
  <sheetData>
    <row r="1" spans="1:13" x14ac:dyDescent="0.45">
      <c r="A1" s="42"/>
    </row>
    <row r="2" spans="1:13" ht="21" x14ac:dyDescent="0.65">
      <c r="A2" s="1" t="s">
        <v>401</v>
      </c>
    </row>
    <row r="3" spans="1:13" x14ac:dyDescent="0.45">
      <c r="B3" s="7" t="s">
        <v>654</v>
      </c>
    </row>
    <row r="4" spans="1:13" x14ac:dyDescent="0.45">
      <c r="B4" s="7" t="s">
        <v>655</v>
      </c>
    </row>
    <row r="5" spans="1:13" x14ac:dyDescent="0.45">
      <c r="B5" s="7" t="s">
        <v>656</v>
      </c>
    </row>
    <row r="7" spans="1:13" ht="30" customHeight="1" x14ac:dyDescent="0.45">
      <c r="A7" s="7"/>
      <c r="B7" s="7"/>
      <c r="C7" s="7"/>
      <c r="D7" s="7"/>
      <c r="E7" s="7"/>
      <c r="F7" s="7"/>
      <c r="G7" s="99" t="s">
        <v>130</v>
      </c>
      <c r="H7" s="101"/>
      <c r="I7" s="103" t="s">
        <v>132</v>
      </c>
      <c r="J7" s="104"/>
    </row>
    <row r="8" spans="1:13" s="2" customFormat="1" ht="71.25" x14ac:dyDescent="0.45">
      <c r="A8" s="3" t="s">
        <v>134</v>
      </c>
      <c r="B8" s="3" t="s">
        <v>0</v>
      </c>
      <c r="C8" s="12" t="s">
        <v>2</v>
      </c>
      <c r="D8" s="12" t="s">
        <v>3</v>
      </c>
      <c r="E8" s="22" t="s">
        <v>649</v>
      </c>
      <c r="F8" s="22" t="s">
        <v>650</v>
      </c>
      <c r="G8" s="22" t="s">
        <v>320</v>
      </c>
      <c r="H8" s="23" t="s">
        <v>321</v>
      </c>
      <c r="I8" s="22" t="s">
        <v>322</v>
      </c>
      <c r="J8" s="22" t="s">
        <v>323</v>
      </c>
    </row>
    <row r="9" spans="1:13" s="5" customFormat="1" x14ac:dyDescent="0.45">
      <c r="A9" s="8" t="s">
        <v>402</v>
      </c>
      <c r="B9" s="97" t="s">
        <v>4</v>
      </c>
      <c r="C9" s="97"/>
      <c r="D9" s="97"/>
      <c r="E9" s="66">
        <v>2184</v>
      </c>
      <c r="F9" s="66">
        <v>1578</v>
      </c>
      <c r="G9" s="67" t="s">
        <v>657</v>
      </c>
      <c r="H9" s="64">
        <v>0.53180000000000005</v>
      </c>
      <c r="I9" s="64">
        <v>0.11899999999999999</v>
      </c>
      <c r="J9" s="64">
        <v>0.62039999999999995</v>
      </c>
    </row>
    <row r="10" spans="1:13" s="7" customFormat="1" x14ac:dyDescent="0.45">
      <c r="A10" s="7" t="s">
        <v>402</v>
      </c>
      <c r="B10" s="7" t="str">
        <f>VLOOKUP(C10,'Organisation names'!$B$4:$D$130,3,FALSE)</f>
        <v>Greater Manchester</v>
      </c>
      <c r="C10" s="77" t="s">
        <v>9</v>
      </c>
      <c r="D10" s="7" t="str">
        <f>VLOOKUP(C10,'Organisation names'!$B$4:$D$130,2,FALSE)</f>
        <v>Manchester University NHS Foundation Trust</v>
      </c>
      <c r="E10" s="72">
        <v>117</v>
      </c>
      <c r="F10" s="72">
        <v>86</v>
      </c>
      <c r="G10" s="68"/>
      <c r="H10" s="21">
        <v>0.5308641791343689</v>
      </c>
      <c r="I10" s="21">
        <v>7.6923079788684845E-2</v>
      </c>
      <c r="J10" s="21">
        <v>0.65116280317306519</v>
      </c>
      <c r="L10" s="21"/>
      <c r="M10" s="61"/>
    </row>
    <row r="11" spans="1:13" s="7" customFormat="1" x14ac:dyDescent="0.45">
      <c r="A11" s="7" t="s">
        <v>402</v>
      </c>
      <c r="B11" s="7" t="str">
        <f>VLOOKUP(C11,'Organisation names'!$B$4:$D$130,3,FALSE)</f>
        <v>North East London</v>
      </c>
      <c r="C11" s="77" t="s">
        <v>13</v>
      </c>
      <c r="D11" s="7" t="str">
        <f>VLOOKUP(C11,'Organisation names'!$B$4:$D$130,2,FALSE)</f>
        <v>Barts Health NHS Trust</v>
      </c>
      <c r="E11" s="72">
        <v>60</v>
      </c>
      <c r="F11" s="72">
        <v>48</v>
      </c>
      <c r="G11" s="68"/>
      <c r="H11" s="21">
        <v>0.73809522390365601</v>
      </c>
      <c r="I11" s="21">
        <v>0.10000000149011611</v>
      </c>
      <c r="J11" s="21">
        <v>0.3333333432674408</v>
      </c>
      <c r="L11" s="21"/>
      <c r="M11" s="61"/>
    </row>
    <row r="12" spans="1:13" s="7" customFormat="1" x14ac:dyDescent="0.45">
      <c r="A12" s="7" t="s">
        <v>402</v>
      </c>
      <c r="B12" s="7" t="str">
        <f>VLOOKUP(C12,'Organisation names'!$B$4:$D$130,3,FALSE)</f>
        <v>Surrey and Sussex</v>
      </c>
      <c r="C12" s="77" t="s">
        <v>15</v>
      </c>
      <c r="D12" s="7" t="str">
        <f>VLOOKUP(C12,'Organisation names'!$B$4:$D$130,2,FALSE)</f>
        <v>Royal Surrey County Hospital NHS Foundation Trust</v>
      </c>
      <c r="E12" s="72">
        <v>147</v>
      </c>
      <c r="F12" s="72">
        <v>115</v>
      </c>
      <c r="G12" s="68"/>
      <c r="H12" s="21">
        <v>0.54285717010498047</v>
      </c>
      <c r="I12" s="21">
        <v>0.1020408198237419</v>
      </c>
      <c r="J12" s="21">
        <v>0.54782611131668091</v>
      </c>
      <c r="L12" s="21"/>
      <c r="M12" s="61"/>
    </row>
    <row r="13" spans="1:13" s="7" customFormat="1" x14ac:dyDescent="0.45">
      <c r="A13" s="7" t="s">
        <v>402</v>
      </c>
      <c r="B13" s="7" t="str">
        <f>VLOOKUP(C13,'Organisation names'!$B$4:$D$130,3,FALSE)</f>
        <v>Somerset, Wiltshire, Avon and Gloucestershire</v>
      </c>
      <c r="C13" s="77" t="s">
        <v>16</v>
      </c>
      <c r="D13" s="7" t="str">
        <f>VLOOKUP(C13,'Organisation names'!$B$4:$D$130,2,FALSE)</f>
        <v>University Hospitals Bristol and Weston NHS Foundation Trust</v>
      </c>
      <c r="E13" s="72">
        <v>71</v>
      </c>
      <c r="F13" s="72">
        <v>53</v>
      </c>
      <c r="G13" s="68"/>
      <c r="H13" s="21">
        <v>0.41463413834571838</v>
      </c>
      <c r="I13" s="21">
        <v>0.16901408135890961</v>
      </c>
      <c r="J13" s="21">
        <v>0.4716981053352356</v>
      </c>
      <c r="L13" s="21"/>
      <c r="M13" s="61"/>
    </row>
    <row r="14" spans="1:13" s="7" customFormat="1" x14ac:dyDescent="0.45">
      <c r="A14" s="7" t="s">
        <v>402</v>
      </c>
      <c r="B14" s="7" t="str">
        <f>VLOOKUP(C14,'Organisation names'!$B$4:$D$130,3,FALSE)</f>
        <v>North Central London</v>
      </c>
      <c r="C14" s="77" t="s">
        <v>20</v>
      </c>
      <c r="D14" s="7" t="str">
        <f>VLOOKUP(C14,'Organisation names'!$B$4:$D$130,2,FALSE)</f>
        <v>Royal Free London NHS Foundation Trust</v>
      </c>
      <c r="E14" s="72">
        <v>129</v>
      </c>
      <c r="F14" s="72">
        <v>85</v>
      </c>
      <c r="G14" s="68"/>
      <c r="H14" s="21">
        <v>0.47368422150611877</v>
      </c>
      <c r="I14" s="21">
        <v>9.3023255467414856E-2</v>
      </c>
      <c r="J14" s="21">
        <v>0.69411766529083252</v>
      </c>
      <c r="L14" s="21"/>
      <c r="M14" s="61"/>
    </row>
    <row r="15" spans="1:13" s="7" customFormat="1" x14ac:dyDescent="0.45">
      <c r="A15" s="7" t="s">
        <v>402</v>
      </c>
      <c r="B15" s="7" t="str">
        <f>VLOOKUP(C15,'Organisation names'!$B$4:$D$130,3,FALSE)</f>
        <v>Cheshire and Merseyside</v>
      </c>
      <c r="C15" s="77" t="s">
        <v>39</v>
      </c>
      <c r="D15" s="7" t="str">
        <f>VLOOKUP(C15,'Organisation names'!$B$4:$D$130,2,FALSE)</f>
        <v>Liverpool University Hospitals NHS Foundation Trust</v>
      </c>
      <c r="E15" s="72">
        <v>111</v>
      </c>
      <c r="F15" s="72">
        <v>86</v>
      </c>
      <c r="G15" s="68"/>
      <c r="H15" s="21">
        <v>0.71621620655059814</v>
      </c>
      <c r="I15" s="21">
        <v>0.1171171143651009</v>
      </c>
      <c r="J15" s="21">
        <v>0.76744186878204346</v>
      </c>
      <c r="L15" s="21"/>
      <c r="M15" s="61"/>
    </row>
    <row r="16" spans="1:13" s="7" customFormat="1" x14ac:dyDescent="0.45">
      <c r="A16" s="7" t="s">
        <v>402</v>
      </c>
      <c r="B16" s="7" t="str">
        <f>VLOOKUP(C16,'Organisation names'!$B$4:$D$130,3,FALSE)</f>
        <v>East of England</v>
      </c>
      <c r="C16" s="77" t="s">
        <v>48</v>
      </c>
      <c r="D16" s="7" t="str">
        <f>VLOOKUP(C16,'Organisation names'!$B$4:$D$130,2,FALSE)</f>
        <v>Cambridge University Hospitals NHS Foundation Trust</v>
      </c>
      <c r="E16" s="72">
        <v>101</v>
      </c>
      <c r="F16" s="72">
        <v>77</v>
      </c>
      <c r="G16" s="68"/>
      <c r="H16" s="21">
        <v>0.64705884456634521</v>
      </c>
      <c r="I16" s="21">
        <v>9.9009901285171509E-2</v>
      </c>
      <c r="J16" s="21">
        <v>0.57142859697341919</v>
      </c>
      <c r="L16" s="21"/>
      <c r="M16" s="61"/>
    </row>
    <row r="17" spans="1:13" s="7" customFormat="1" x14ac:dyDescent="0.45">
      <c r="A17" s="7" t="s">
        <v>402</v>
      </c>
      <c r="B17" s="7" t="str">
        <f>VLOOKUP(C17,'Organisation names'!$B$4:$D$130,3,FALSE)</f>
        <v>Wessex</v>
      </c>
      <c r="C17" s="77" t="s">
        <v>51</v>
      </c>
      <c r="D17" s="7" t="str">
        <f>VLOOKUP(C17,'Organisation names'!$B$4:$D$130,2,FALSE)</f>
        <v>University Hospital Southampton NHS Foundation Trust</v>
      </c>
      <c r="E17" s="72">
        <v>131</v>
      </c>
      <c r="F17" s="72">
        <v>99</v>
      </c>
      <c r="G17" s="68"/>
      <c r="H17" s="21">
        <v>0.56962025165557861</v>
      </c>
      <c r="I17" s="21">
        <v>0.152671754360199</v>
      </c>
      <c r="J17" s="21">
        <v>0.67676764726638794</v>
      </c>
      <c r="L17" s="21"/>
      <c r="M17" s="61"/>
    </row>
    <row r="18" spans="1:13" s="7" customFormat="1" x14ac:dyDescent="0.45">
      <c r="A18" s="7" t="s">
        <v>402</v>
      </c>
      <c r="B18" s="7" t="str">
        <f>VLOOKUP(C18,'Organisation names'!$B$4:$D$130,3,FALSE)</f>
        <v>South Yorkshire and Bassetlaw</v>
      </c>
      <c r="C18" s="77" t="s">
        <v>52</v>
      </c>
      <c r="D18" s="7" t="str">
        <f>VLOOKUP(C18,'Organisation names'!$B$4:$D$130,2,FALSE)</f>
        <v>Sheffield Teaching Hospitals NHS Foundation Trust</v>
      </c>
      <c r="E18" s="72">
        <v>55</v>
      </c>
      <c r="F18" s="72">
        <v>42</v>
      </c>
      <c r="G18" s="68"/>
      <c r="H18" s="21">
        <v>0.71052628755569458</v>
      </c>
      <c r="I18" s="21">
        <v>9.0909093618392944E-2</v>
      </c>
      <c r="J18" s="21">
        <v>0.66666668653488159</v>
      </c>
      <c r="L18" s="21"/>
      <c r="M18" s="61"/>
    </row>
    <row r="19" spans="1:13" s="7" customFormat="1" x14ac:dyDescent="0.45">
      <c r="A19" s="7" t="s">
        <v>402</v>
      </c>
      <c r="B19" s="7" t="str">
        <f>VLOOKUP(C19,'Organisation names'!$B$4:$D$130,3,FALSE)</f>
        <v>West Midlands</v>
      </c>
      <c r="C19" s="77" t="s">
        <v>60</v>
      </c>
      <c r="D19" s="7" t="str">
        <f>VLOOKUP(C19,'Organisation names'!$B$4:$D$130,2,FALSE)</f>
        <v>University Hospitals Of North Midlands NHS Trust</v>
      </c>
      <c r="E19" s="72">
        <v>86</v>
      </c>
      <c r="F19" s="72">
        <v>73</v>
      </c>
      <c r="G19" s="68"/>
      <c r="H19" s="21">
        <v>0.32352942228317261</v>
      </c>
      <c r="I19" s="21">
        <v>6.976744532585144E-2</v>
      </c>
      <c r="J19" s="21">
        <v>0.75342464447021484</v>
      </c>
      <c r="L19" s="21"/>
      <c r="M19" s="61"/>
    </row>
    <row r="20" spans="1:13" s="7" customFormat="1" x14ac:dyDescent="0.45">
      <c r="A20" s="7" t="s">
        <v>402</v>
      </c>
      <c r="B20" s="7" t="str">
        <f>VLOOKUP(C20,'Organisation names'!$B$4:$D$130,3,FALSE)</f>
        <v>South East London</v>
      </c>
      <c r="C20" s="77" t="s">
        <v>64</v>
      </c>
      <c r="D20" s="7" t="str">
        <f>VLOOKUP(C20,'Organisation names'!$B$4:$D$130,2,FALSE)</f>
        <v>King's College Hospital NHS Foundation Trust</v>
      </c>
      <c r="E20" s="72">
        <v>221</v>
      </c>
      <c r="F20" s="72">
        <v>156</v>
      </c>
      <c r="G20" s="68"/>
      <c r="H20" s="21">
        <v>0.57718122005462646</v>
      </c>
      <c r="I20" s="21">
        <v>4.9773756414651871E-2</v>
      </c>
      <c r="J20" s="21">
        <v>0.68589740991592407</v>
      </c>
      <c r="L20" s="21"/>
      <c r="M20" s="61"/>
    </row>
    <row r="21" spans="1:13" s="7" customFormat="1" x14ac:dyDescent="0.45">
      <c r="A21" s="7" t="s">
        <v>402</v>
      </c>
      <c r="B21" s="7" t="str">
        <f>VLOOKUP(C21,'Organisation names'!$B$4:$D$130,3,FALSE)</f>
        <v>Peninsula</v>
      </c>
      <c r="C21" s="77" t="s">
        <v>66</v>
      </c>
      <c r="D21" s="7" t="str">
        <f>VLOOKUP(C21,'Organisation names'!$B$4:$D$130,2,FALSE)</f>
        <v>University Hospitals Plymouth NHS Trust</v>
      </c>
      <c r="E21" s="72">
        <v>71</v>
      </c>
      <c r="F21" s="72">
        <v>58</v>
      </c>
      <c r="G21" s="68"/>
      <c r="H21" s="21">
        <v>0.6111111044883728</v>
      </c>
      <c r="I21" s="21">
        <v>9.8591551184654236E-2</v>
      </c>
      <c r="J21" s="21">
        <v>0.62068963050842285</v>
      </c>
      <c r="L21" s="21"/>
      <c r="M21" s="61"/>
    </row>
    <row r="22" spans="1:13" s="7" customFormat="1" x14ac:dyDescent="0.45">
      <c r="A22" s="7" t="s">
        <v>402</v>
      </c>
      <c r="B22" s="7" t="str">
        <f>VLOOKUP(C22,'Organisation names'!$B$4:$D$130,3,FALSE)</f>
        <v>West Midlands</v>
      </c>
      <c r="C22" s="77" t="s">
        <v>67</v>
      </c>
      <c r="D22" s="7" t="str">
        <f>VLOOKUP(C22,'Organisation names'!$B$4:$D$130,2,FALSE)</f>
        <v>University Hospitals Coventry and Warwickshire NHS Trust</v>
      </c>
      <c r="E22" s="72">
        <v>23</v>
      </c>
      <c r="F22" s="72">
        <v>14</v>
      </c>
      <c r="G22" s="68"/>
      <c r="H22" s="46" t="s">
        <v>135</v>
      </c>
      <c r="I22" s="21">
        <v>0.26086956262588501</v>
      </c>
      <c r="J22" s="21">
        <v>0.6428571343421936</v>
      </c>
      <c r="L22" s="21"/>
      <c r="M22" s="61"/>
    </row>
    <row r="23" spans="1:13" s="7" customFormat="1" x14ac:dyDescent="0.45">
      <c r="A23" s="7" t="s">
        <v>402</v>
      </c>
      <c r="B23" s="7" t="str">
        <f>VLOOKUP(C23,'Organisation names'!$B$4:$D$130,3,FALSE)</f>
        <v>RM Partners</v>
      </c>
      <c r="C23" s="77" t="s">
        <v>86</v>
      </c>
      <c r="D23" s="7" t="str">
        <f>VLOOKUP(C23,'Organisation names'!$B$4:$D$130,2,FALSE)</f>
        <v>The Royal Marsden NHS Foundation Trust</v>
      </c>
      <c r="E23" s="72">
        <v>49</v>
      </c>
      <c r="F23" s="72">
        <v>34</v>
      </c>
      <c r="G23" s="68"/>
      <c r="H23" s="21">
        <v>0.43999999761581421</v>
      </c>
      <c r="I23" s="21">
        <v>0.26530611515045172</v>
      </c>
      <c r="J23" s="21">
        <v>0.73529410362243652</v>
      </c>
      <c r="L23" s="21"/>
      <c r="M23" s="61"/>
    </row>
    <row r="24" spans="1:13" s="7" customFormat="1" x14ac:dyDescent="0.45">
      <c r="A24" s="7" t="s">
        <v>402</v>
      </c>
      <c r="B24" s="7" t="str">
        <f>VLOOKUP(C24,'Organisation names'!$B$4:$D$130,3,FALSE)</f>
        <v>West Yorkshire and Harrogate</v>
      </c>
      <c r="C24" s="77" t="s">
        <v>91</v>
      </c>
      <c r="D24" s="7" t="str">
        <f>VLOOKUP(C24,'Organisation names'!$B$4:$D$130,2,FALSE)</f>
        <v>Leeds Teaching Hospitals NHS Trust</v>
      </c>
      <c r="E24" s="72">
        <v>53</v>
      </c>
      <c r="F24" s="72">
        <v>30</v>
      </c>
      <c r="G24" s="68"/>
      <c r="H24" s="21">
        <v>0.60000002384185791</v>
      </c>
      <c r="I24" s="21">
        <v>0.20754717290401459</v>
      </c>
      <c r="J24" s="21">
        <v>0.5</v>
      </c>
      <c r="L24" s="21"/>
      <c r="M24" s="61"/>
    </row>
    <row r="25" spans="1:13" s="7" customFormat="1" x14ac:dyDescent="0.45">
      <c r="A25" s="7" t="s">
        <v>402</v>
      </c>
      <c r="B25" s="7" t="str">
        <f>VLOOKUP(C25,'Organisation names'!$B$4:$D$130,3,FALSE)</f>
        <v>West Midlands</v>
      </c>
      <c r="C25" s="77" t="s">
        <v>93</v>
      </c>
      <c r="D25" s="7" t="str">
        <f>VLOOKUP(C25,'Organisation names'!$B$4:$D$130,2,FALSE)</f>
        <v>University Hospitals Birmingham NHS Foundation Trust</v>
      </c>
      <c r="E25" s="72">
        <v>213</v>
      </c>
      <c r="F25" s="72">
        <v>155</v>
      </c>
      <c r="G25" s="68"/>
      <c r="H25" s="21">
        <v>0.30894309282302862</v>
      </c>
      <c r="I25" s="21">
        <v>0.2394366264343262</v>
      </c>
      <c r="J25" s="21">
        <v>0.5161290168762207</v>
      </c>
      <c r="L25" s="21"/>
      <c r="M25" s="61"/>
    </row>
    <row r="26" spans="1:13" s="7" customFormat="1" x14ac:dyDescent="0.45">
      <c r="A26" s="7" t="s">
        <v>402</v>
      </c>
      <c r="B26" s="7" t="str">
        <f>VLOOKUP(C26,'Organisation names'!$B$4:$D$130,3,FALSE)</f>
        <v>Northern</v>
      </c>
      <c r="C26" s="77" t="s">
        <v>95</v>
      </c>
      <c r="D26" s="7" t="str">
        <f>VLOOKUP(C26,'Organisation names'!$B$4:$D$130,2,FALSE)</f>
        <v>The Newcastle Upon Tyne Hospitals NHS Foundation Trust</v>
      </c>
      <c r="E26" s="72">
        <v>91</v>
      </c>
      <c r="F26" s="72">
        <v>61</v>
      </c>
      <c r="G26" s="68"/>
      <c r="H26" s="21">
        <v>0.53333336114883423</v>
      </c>
      <c r="I26" s="21">
        <v>4.3956045061349869E-2</v>
      </c>
      <c r="J26" s="21">
        <v>0.65573769807815552</v>
      </c>
      <c r="L26" s="21"/>
      <c r="M26" s="61"/>
    </row>
    <row r="27" spans="1:13" s="7" customFormat="1" x14ac:dyDescent="0.45">
      <c r="A27" s="7" t="s">
        <v>402</v>
      </c>
      <c r="B27" s="7" t="str">
        <f>VLOOKUP(C27,'Organisation names'!$B$4:$D$130,3,FALSE)</f>
        <v>Thames Valley</v>
      </c>
      <c r="C27" s="77" t="s">
        <v>99</v>
      </c>
      <c r="D27" s="7" t="str">
        <f>VLOOKUP(C27,'Organisation names'!$B$4:$D$130,2,FALSE)</f>
        <v>Oxford University Hospitals NHS Foundation Trust</v>
      </c>
      <c r="E27" s="72">
        <v>86</v>
      </c>
      <c r="F27" s="72">
        <v>53</v>
      </c>
      <c r="G27" s="68"/>
      <c r="H27" s="21">
        <v>0.54054051637649536</v>
      </c>
      <c r="I27" s="21">
        <v>0.27906978130340582</v>
      </c>
      <c r="J27" s="21">
        <v>0.62264150381088257</v>
      </c>
      <c r="L27" s="21"/>
      <c r="M27" s="61"/>
    </row>
    <row r="28" spans="1:13" s="7" customFormat="1" x14ac:dyDescent="0.45">
      <c r="A28" s="7" t="s">
        <v>402</v>
      </c>
      <c r="B28" s="7" t="str">
        <f>VLOOKUP(C28,'Organisation names'!$B$4:$D$130,3,FALSE)</f>
        <v>Humber and North Yorkshire</v>
      </c>
      <c r="C28" s="77" t="s">
        <v>108</v>
      </c>
      <c r="D28" s="7" t="str">
        <f>VLOOKUP(C28,'Organisation names'!$B$4:$D$130,2,FALSE)</f>
        <v>Hull University Teaching Hospitals NHS Trust</v>
      </c>
      <c r="E28" s="72">
        <v>60</v>
      </c>
      <c r="F28" s="72">
        <v>38</v>
      </c>
      <c r="G28" s="68"/>
      <c r="H28" s="21">
        <v>0.62068963050842285</v>
      </c>
      <c r="I28" s="21">
        <v>0.1666666716337204</v>
      </c>
      <c r="J28" s="21">
        <v>0.5</v>
      </c>
      <c r="L28" s="21"/>
      <c r="M28" s="61"/>
    </row>
    <row r="29" spans="1:13" s="7" customFormat="1" x14ac:dyDescent="0.45">
      <c r="A29" s="7" t="s">
        <v>402</v>
      </c>
      <c r="B29" s="7" t="str">
        <f>VLOOKUP(C29,'Organisation names'!$B$4:$D$130,3,FALSE)</f>
        <v>East Midlands</v>
      </c>
      <c r="C29" s="77" t="s">
        <v>110</v>
      </c>
      <c r="D29" s="7" t="str">
        <f>VLOOKUP(C29,'Organisation names'!$B$4:$D$130,2,FALSE)</f>
        <v>University Hospitals Of Leicester NHS Trust</v>
      </c>
      <c r="E29" s="72">
        <v>85</v>
      </c>
      <c r="F29" s="72">
        <v>61</v>
      </c>
      <c r="G29" s="68"/>
      <c r="H29" s="21">
        <v>0.5901639461517334</v>
      </c>
      <c r="I29" s="21">
        <v>0</v>
      </c>
      <c r="J29" s="21">
        <v>0.73770493268966675</v>
      </c>
      <c r="L29" s="21"/>
      <c r="M29" s="61"/>
    </row>
    <row r="30" spans="1:13" s="7" customFormat="1" x14ac:dyDescent="0.45">
      <c r="A30" s="7" t="s">
        <v>402</v>
      </c>
      <c r="B30" s="7" t="str">
        <f>VLOOKUP(C30,'Organisation names'!$B$4:$D$130,3,FALSE)</f>
        <v>East Midlands</v>
      </c>
      <c r="C30" s="77" t="s">
        <v>118</v>
      </c>
      <c r="D30" s="7" t="str">
        <f>VLOOKUP(C30,'Organisation names'!$B$4:$D$130,2,FALSE)</f>
        <v>Nottingham University Hospitals NHS Trust</v>
      </c>
      <c r="E30" s="72">
        <v>60</v>
      </c>
      <c r="F30" s="72">
        <v>41</v>
      </c>
      <c r="G30" s="68"/>
      <c r="H30" s="21">
        <v>0.375</v>
      </c>
      <c r="I30" s="21">
        <v>0.18333333730697629</v>
      </c>
      <c r="J30" s="21">
        <v>0.707317054271698</v>
      </c>
      <c r="L30" s="21"/>
      <c r="M30" s="61"/>
    </row>
    <row r="31" spans="1:13" s="7" customFormat="1" x14ac:dyDescent="0.45">
      <c r="A31" s="7" t="s">
        <v>402</v>
      </c>
      <c r="B31" s="7" t="str">
        <f>VLOOKUP(C31,'Organisation names'!$B$4:$D$130,3,FALSE)</f>
        <v>Lancashire and South Cumbria</v>
      </c>
      <c r="C31" s="77" t="s">
        <v>126</v>
      </c>
      <c r="D31" s="7" t="str">
        <f>VLOOKUP(C31,'Organisation names'!$B$4:$D$130,2,FALSE)</f>
        <v>East Lancashire Hospitals NHS Trust</v>
      </c>
      <c r="E31" s="72">
        <v>74</v>
      </c>
      <c r="F31" s="72">
        <v>56</v>
      </c>
      <c r="G31" s="68"/>
      <c r="H31" s="21">
        <v>0.41818180680274958</v>
      </c>
      <c r="I31" s="21">
        <v>4.0540538728237152E-2</v>
      </c>
      <c r="J31" s="21">
        <v>0.625</v>
      </c>
      <c r="L31" s="21"/>
      <c r="M31" s="61"/>
    </row>
    <row r="32" spans="1:13" s="7" customFormat="1" x14ac:dyDescent="0.45">
      <c r="A32" s="7" t="s">
        <v>402</v>
      </c>
      <c r="B32" s="7" t="str">
        <f>VLOOKUP(C32,'Organisation names'!$B$4:$D$130,3,FALSE)</f>
        <v>RM Partners</v>
      </c>
      <c r="C32" s="77" t="s">
        <v>128</v>
      </c>
      <c r="D32" s="7" t="str">
        <f>VLOOKUP(C32,'Organisation names'!$B$4:$D$130,2,FALSE)</f>
        <v>Imperial College Healthcare NHS Trust</v>
      </c>
      <c r="E32" s="72">
        <v>65</v>
      </c>
      <c r="F32" s="72">
        <v>48</v>
      </c>
      <c r="G32" s="68"/>
      <c r="H32" s="21">
        <v>0.57446807622909546</v>
      </c>
      <c r="I32" s="21">
        <v>1.5384615398943421E-2</v>
      </c>
      <c r="J32" s="21">
        <v>0.5</v>
      </c>
      <c r="L32" s="21"/>
      <c r="M32" s="61"/>
    </row>
    <row r="33" spans="2:10" s="7" customFormat="1" x14ac:dyDescent="0.45">
      <c r="E33" s="15"/>
      <c r="F33" s="15"/>
      <c r="G33" s="31"/>
      <c r="H33" s="31"/>
      <c r="I33" s="31"/>
      <c r="J33" s="21"/>
    </row>
    <row r="34" spans="2:10" s="7" customFormat="1" x14ac:dyDescent="0.45">
      <c r="G34" s="32"/>
    </row>
    <row r="35" spans="2:10" s="7" customFormat="1" x14ac:dyDescent="0.45">
      <c r="B35" s="7" t="s">
        <v>281</v>
      </c>
      <c r="C35" s="7" t="s">
        <v>282</v>
      </c>
      <c r="H35" s="61"/>
      <c r="I35" s="61"/>
      <c r="J35" s="61"/>
    </row>
    <row r="36" spans="2:10" s="7" customFormat="1" x14ac:dyDescent="0.45">
      <c r="B36" s="7" t="s">
        <v>279</v>
      </c>
      <c r="C36" s="7" t="s">
        <v>280</v>
      </c>
      <c r="H36" s="61"/>
      <c r="I36" s="61"/>
      <c r="J36" s="61"/>
    </row>
    <row r="37" spans="2:10" s="7" customFormat="1" x14ac:dyDescent="0.45">
      <c r="B37" s="7" t="s">
        <v>135</v>
      </c>
      <c r="C37" s="7" t="s">
        <v>384</v>
      </c>
    </row>
    <row r="38" spans="2:10" s="7" customFormat="1" x14ac:dyDescent="0.45">
      <c r="B38" s="7" t="s">
        <v>658</v>
      </c>
      <c r="C38" s="7" t="s">
        <v>659</v>
      </c>
    </row>
    <row r="39" spans="2:10" s="7" customFormat="1" x14ac:dyDescent="0.45"/>
  </sheetData>
  <mergeCells count="3">
    <mergeCell ref="B9:D9"/>
    <mergeCell ref="G7:H7"/>
    <mergeCell ref="I7:J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9"/>
  <sheetViews>
    <sheetView topLeftCell="A9" zoomScaleNormal="100" workbookViewId="0">
      <selection activeCell="D23" sqref="D23"/>
    </sheetView>
  </sheetViews>
  <sheetFormatPr defaultRowHeight="14.25" x14ac:dyDescent="0.45"/>
  <cols>
    <col min="2" max="2" width="13.86328125" customWidth="1"/>
    <col min="3" max="3" width="41.73046875" bestFit="1" customWidth="1"/>
    <col min="4" max="5" width="22" customWidth="1"/>
    <col min="6" max="6" width="18.265625" customWidth="1"/>
    <col min="7" max="7" width="17" customWidth="1"/>
    <col min="8" max="8" width="18.3984375" customWidth="1"/>
    <col min="9" max="9" width="17.265625" customWidth="1"/>
  </cols>
  <sheetData>
    <row r="1" spans="1:9" x14ac:dyDescent="0.45">
      <c r="A1" s="42"/>
    </row>
    <row r="2" spans="1:9" ht="21" x14ac:dyDescent="0.65">
      <c r="A2" s="1" t="s">
        <v>683</v>
      </c>
    </row>
    <row r="3" spans="1:9" x14ac:dyDescent="0.45">
      <c r="A3" s="7"/>
      <c r="B3" s="7" t="s">
        <v>697</v>
      </c>
      <c r="C3" s="7"/>
      <c r="D3" s="7"/>
      <c r="E3" s="7"/>
      <c r="F3" s="7"/>
      <c r="G3" s="7"/>
      <c r="H3" s="7"/>
      <c r="I3" s="7"/>
    </row>
    <row r="4" spans="1:9" x14ac:dyDescent="0.45">
      <c r="A4" s="7"/>
      <c r="B4" s="7"/>
      <c r="C4" s="7"/>
      <c r="D4" s="7"/>
      <c r="E4" s="7"/>
      <c r="F4" s="7"/>
      <c r="G4" s="7"/>
      <c r="H4" s="7"/>
      <c r="I4" s="7"/>
    </row>
    <row r="5" spans="1:9" x14ac:dyDescent="0.45">
      <c r="A5" s="7"/>
      <c r="B5" s="7"/>
      <c r="C5" s="7"/>
      <c r="D5" s="7"/>
      <c r="E5" s="7"/>
      <c r="F5" s="7"/>
      <c r="G5" s="7"/>
      <c r="H5" s="7"/>
      <c r="I5" s="7"/>
    </row>
    <row r="6" spans="1:9" x14ac:dyDescent="0.45">
      <c r="A6" s="7"/>
      <c r="B6" s="7"/>
      <c r="C6" s="7"/>
      <c r="D6" s="7"/>
      <c r="E6" s="7"/>
      <c r="F6" s="7"/>
      <c r="G6" s="7"/>
      <c r="H6" s="7"/>
      <c r="I6" s="7"/>
    </row>
    <row r="7" spans="1:9" ht="28.5" customHeight="1" x14ac:dyDescent="0.45">
      <c r="A7" s="7"/>
      <c r="B7" s="26"/>
      <c r="C7" s="26"/>
      <c r="D7" s="7"/>
      <c r="E7" s="7"/>
      <c r="F7" s="99" t="s">
        <v>130</v>
      </c>
      <c r="G7" s="101"/>
      <c r="H7" s="103" t="s">
        <v>132</v>
      </c>
      <c r="I7" s="104"/>
    </row>
    <row r="8" spans="1:9" ht="114" x14ac:dyDescent="0.45">
      <c r="A8" s="3" t="s">
        <v>284</v>
      </c>
      <c r="B8" s="12" t="s">
        <v>337</v>
      </c>
      <c r="C8" s="12" t="s">
        <v>345</v>
      </c>
      <c r="D8" s="22" t="s">
        <v>684</v>
      </c>
      <c r="E8" s="22" t="s">
        <v>685</v>
      </c>
      <c r="F8" s="22" t="s">
        <v>686</v>
      </c>
      <c r="G8" s="23" t="s">
        <v>687</v>
      </c>
      <c r="H8" s="22" t="s">
        <v>688</v>
      </c>
      <c r="I8" s="22" t="s">
        <v>689</v>
      </c>
    </row>
    <row r="9" spans="1:9" x14ac:dyDescent="0.45">
      <c r="A9" s="7" t="s">
        <v>665</v>
      </c>
      <c r="B9" s="96" t="s">
        <v>336</v>
      </c>
      <c r="C9" s="96"/>
      <c r="D9" s="8">
        <v>46</v>
      </c>
      <c r="E9" s="8">
        <v>68</v>
      </c>
      <c r="F9" s="9">
        <f>19/47</f>
        <v>0.40425531914893614</v>
      </c>
      <c r="G9" s="55">
        <f>10/33</f>
        <v>0.30303030303030304</v>
      </c>
      <c r="H9" s="9">
        <f>6/68</f>
        <v>8.8235294117647065E-2</v>
      </c>
      <c r="I9" s="9">
        <f>33/46</f>
        <v>0.71739130434782605</v>
      </c>
    </row>
  </sheetData>
  <mergeCells count="3">
    <mergeCell ref="F7:G7"/>
    <mergeCell ref="H7:I7"/>
    <mergeCell ref="B9:C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3:D129"/>
  <sheetViews>
    <sheetView workbookViewId="0">
      <selection activeCell="D15" sqref="D15"/>
    </sheetView>
  </sheetViews>
  <sheetFormatPr defaultRowHeight="14.25" x14ac:dyDescent="0.45"/>
  <cols>
    <col min="2" max="2" width="14.73046875" customWidth="1"/>
    <col min="3" max="3" width="58.265625" customWidth="1"/>
    <col min="4" max="4" width="37.265625" bestFit="1" customWidth="1"/>
  </cols>
  <sheetData>
    <row r="3" spans="2:4" x14ac:dyDescent="0.45">
      <c r="B3" s="8" t="s">
        <v>263</v>
      </c>
      <c r="C3" s="8" t="s">
        <v>264</v>
      </c>
      <c r="D3" s="8" t="s">
        <v>0</v>
      </c>
    </row>
    <row r="4" spans="2:4" x14ac:dyDescent="0.45">
      <c r="B4" s="7" t="s">
        <v>40</v>
      </c>
      <c r="C4" s="7" t="s">
        <v>403</v>
      </c>
      <c r="D4" s="7" t="s">
        <v>137</v>
      </c>
    </row>
    <row r="5" spans="2:4" x14ac:dyDescent="0.45">
      <c r="B5" s="7" t="s">
        <v>63</v>
      </c>
      <c r="C5" s="7" t="s">
        <v>155</v>
      </c>
      <c r="D5" s="7" t="s">
        <v>137</v>
      </c>
    </row>
    <row r="6" spans="2:4" x14ac:dyDescent="0.45">
      <c r="B6" s="7" t="s">
        <v>62</v>
      </c>
      <c r="C6" s="7" t="s">
        <v>156</v>
      </c>
      <c r="D6" s="7" t="s">
        <v>137</v>
      </c>
    </row>
    <row r="7" spans="2:4" x14ac:dyDescent="0.45">
      <c r="B7" s="7" t="s">
        <v>39</v>
      </c>
      <c r="C7" s="7" t="s">
        <v>157</v>
      </c>
      <c r="D7" s="7" t="s">
        <v>137</v>
      </c>
    </row>
    <row r="8" spans="2:4" x14ac:dyDescent="0.45">
      <c r="B8" s="7" t="s">
        <v>26</v>
      </c>
      <c r="C8" s="7" t="s">
        <v>158</v>
      </c>
      <c r="D8" s="7" t="s">
        <v>137</v>
      </c>
    </row>
    <row r="9" spans="2:4" x14ac:dyDescent="0.45">
      <c r="B9" s="7" t="s">
        <v>27</v>
      </c>
      <c r="C9" s="7" t="s">
        <v>159</v>
      </c>
      <c r="D9" s="7" t="s">
        <v>137</v>
      </c>
    </row>
    <row r="10" spans="2:4" x14ac:dyDescent="0.45">
      <c r="B10" s="7" t="s">
        <v>116</v>
      </c>
      <c r="C10" s="7" t="s">
        <v>160</v>
      </c>
      <c r="D10" s="7" t="s">
        <v>137</v>
      </c>
    </row>
    <row r="11" spans="2:4" x14ac:dyDescent="0.45">
      <c r="B11" t="s">
        <v>25</v>
      </c>
      <c r="C11" t="s">
        <v>161</v>
      </c>
      <c r="D11" s="7" t="s">
        <v>137</v>
      </c>
    </row>
    <row r="12" spans="2:4" x14ac:dyDescent="0.45">
      <c r="B12" t="s">
        <v>44</v>
      </c>
      <c r="C12" t="s">
        <v>229</v>
      </c>
      <c r="D12" s="7" t="s">
        <v>138</v>
      </c>
    </row>
    <row r="13" spans="2:4" x14ac:dyDescent="0.45">
      <c r="B13" s="7" t="s">
        <v>81</v>
      </c>
      <c r="C13" s="7" t="s">
        <v>162</v>
      </c>
      <c r="D13" s="7" t="s">
        <v>138</v>
      </c>
    </row>
    <row r="14" spans="2:4" x14ac:dyDescent="0.45">
      <c r="B14" s="7" t="s">
        <v>82</v>
      </c>
      <c r="C14" s="7" t="s">
        <v>163</v>
      </c>
      <c r="D14" s="7" t="s">
        <v>138</v>
      </c>
    </row>
    <row r="15" spans="2:4" x14ac:dyDescent="0.45">
      <c r="B15" s="7" t="s">
        <v>118</v>
      </c>
      <c r="C15" s="7" t="s">
        <v>164</v>
      </c>
      <c r="D15" s="7" t="s">
        <v>138</v>
      </c>
    </row>
    <row r="16" spans="2:4" x14ac:dyDescent="0.45">
      <c r="B16" s="7" t="s">
        <v>65</v>
      </c>
      <c r="C16" s="7" t="s">
        <v>165</v>
      </c>
      <c r="D16" s="7" t="s">
        <v>138</v>
      </c>
    </row>
    <row r="17" spans="2:4" x14ac:dyDescent="0.45">
      <c r="B17" s="7" t="s">
        <v>109</v>
      </c>
      <c r="C17" s="7" t="s">
        <v>404</v>
      </c>
      <c r="D17" s="7" t="s">
        <v>138</v>
      </c>
    </row>
    <row r="18" spans="2:4" x14ac:dyDescent="0.45">
      <c r="B18" s="7" t="s">
        <v>98</v>
      </c>
      <c r="C18" s="7" t="s">
        <v>166</v>
      </c>
      <c r="D18" s="7" t="s">
        <v>138</v>
      </c>
    </row>
    <row r="19" spans="2:4" x14ac:dyDescent="0.45">
      <c r="B19" s="7" t="s">
        <v>110</v>
      </c>
      <c r="C19" s="7" t="s">
        <v>167</v>
      </c>
      <c r="D19" s="7" t="s">
        <v>138</v>
      </c>
    </row>
    <row r="20" spans="2:4" x14ac:dyDescent="0.45">
      <c r="B20" s="7" t="s">
        <v>29</v>
      </c>
      <c r="C20" s="7" t="s">
        <v>174</v>
      </c>
      <c r="D20" s="7" t="s">
        <v>289</v>
      </c>
    </row>
    <row r="21" spans="2:4" x14ac:dyDescent="0.45">
      <c r="B21" s="7" t="s">
        <v>48</v>
      </c>
      <c r="C21" s="7" t="s">
        <v>168</v>
      </c>
      <c r="D21" s="7" t="s">
        <v>289</v>
      </c>
    </row>
    <row r="22" spans="2:4" x14ac:dyDescent="0.45">
      <c r="B22" s="7" t="s">
        <v>113</v>
      </c>
      <c r="C22" s="7" t="s">
        <v>175</v>
      </c>
      <c r="D22" s="7" t="s">
        <v>289</v>
      </c>
    </row>
    <row r="23" spans="2:4" x14ac:dyDescent="0.45">
      <c r="B23" s="7" t="s">
        <v>36</v>
      </c>
      <c r="C23" s="7" t="s">
        <v>169</v>
      </c>
      <c r="D23" s="7" t="s">
        <v>289</v>
      </c>
    </row>
    <row r="24" spans="2:4" x14ac:dyDescent="0.45">
      <c r="B24" s="7" t="s">
        <v>46</v>
      </c>
      <c r="C24" s="7" t="s">
        <v>170</v>
      </c>
      <c r="D24" s="7" t="s">
        <v>289</v>
      </c>
    </row>
    <row r="25" spans="2:4" x14ac:dyDescent="0.45">
      <c r="B25" s="7" t="s">
        <v>19</v>
      </c>
      <c r="C25" s="7" t="s">
        <v>176</v>
      </c>
      <c r="D25" s="7" t="s">
        <v>289</v>
      </c>
    </row>
    <row r="26" spans="2:4" x14ac:dyDescent="0.45">
      <c r="B26" s="7" t="s">
        <v>35</v>
      </c>
      <c r="C26" s="7" t="s">
        <v>177</v>
      </c>
      <c r="D26" s="7" t="s">
        <v>289</v>
      </c>
    </row>
    <row r="27" spans="2:4" x14ac:dyDescent="0.45">
      <c r="B27" s="7" t="s">
        <v>72</v>
      </c>
      <c r="C27" s="7" t="s">
        <v>171</v>
      </c>
      <c r="D27" s="7" t="s">
        <v>289</v>
      </c>
    </row>
    <row r="28" spans="2:4" x14ac:dyDescent="0.45">
      <c r="B28" s="7" t="s">
        <v>45</v>
      </c>
      <c r="C28" s="7" t="s">
        <v>172</v>
      </c>
      <c r="D28" s="7" t="s">
        <v>289</v>
      </c>
    </row>
    <row r="29" spans="2:4" x14ac:dyDescent="0.45">
      <c r="B29" s="7" t="s">
        <v>88</v>
      </c>
      <c r="C29" s="7" t="s">
        <v>704</v>
      </c>
      <c r="D29" s="7" t="s">
        <v>289</v>
      </c>
    </row>
    <row r="30" spans="2:4" x14ac:dyDescent="0.45">
      <c r="B30" s="7" t="s">
        <v>33</v>
      </c>
      <c r="C30" s="7" t="s">
        <v>705</v>
      </c>
      <c r="D30" s="7" t="s">
        <v>289</v>
      </c>
    </row>
    <row r="31" spans="2:4" x14ac:dyDescent="0.45">
      <c r="B31" s="7" t="s">
        <v>112</v>
      </c>
      <c r="C31" s="7" t="s">
        <v>178</v>
      </c>
      <c r="D31" s="7" t="s">
        <v>289</v>
      </c>
    </row>
    <row r="32" spans="2:4" x14ac:dyDescent="0.45">
      <c r="B32" s="7" t="s">
        <v>47</v>
      </c>
      <c r="C32" s="7" t="s">
        <v>173</v>
      </c>
      <c r="D32" s="7" t="s">
        <v>289</v>
      </c>
    </row>
    <row r="33" spans="2:4" x14ac:dyDescent="0.45">
      <c r="B33" t="s">
        <v>74</v>
      </c>
      <c r="C33" t="s">
        <v>179</v>
      </c>
      <c r="D33" s="7" t="s">
        <v>139</v>
      </c>
    </row>
    <row r="34" spans="2:4" x14ac:dyDescent="0.45">
      <c r="B34" s="7" t="s">
        <v>28</v>
      </c>
      <c r="C34" s="7" t="s">
        <v>405</v>
      </c>
      <c r="D34" s="7" t="s">
        <v>139</v>
      </c>
    </row>
    <row r="35" spans="2:4" x14ac:dyDescent="0.45">
      <c r="B35" t="s">
        <v>9</v>
      </c>
      <c r="C35" t="s">
        <v>180</v>
      </c>
      <c r="D35" s="7" t="s">
        <v>139</v>
      </c>
    </row>
    <row r="36" spans="2:4" x14ac:dyDescent="0.45">
      <c r="B36" t="s">
        <v>73</v>
      </c>
      <c r="C36" t="s">
        <v>181</v>
      </c>
      <c r="D36" s="7" t="s">
        <v>139</v>
      </c>
    </row>
    <row r="37" spans="2:4" x14ac:dyDescent="0.45">
      <c r="B37" t="s">
        <v>114</v>
      </c>
      <c r="C37" t="s">
        <v>182</v>
      </c>
      <c r="D37" s="7" t="s">
        <v>139</v>
      </c>
    </row>
    <row r="38" spans="2:4" x14ac:dyDescent="0.45">
      <c r="B38" t="s">
        <v>75</v>
      </c>
      <c r="C38" t="s">
        <v>183</v>
      </c>
      <c r="D38" s="7" t="s">
        <v>139</v>
      </c>
    </row>
    <row r="39" spans="2:4" x14ac:dyDescent="0.45">
      <c r="B39" t="s">
        <v>92</v>
      </c>
      <c r="C39" t="s">
        <v>184</v>
      </c>
      <c r="D39" s="7" t="s">
        <v>139</v>
      </c>
    </row>
    <row r="40" spans="2:4" x14ac:dyDescent="0.45">
      <c r="B40" t="s">
        <v>108</v>
      </c>
      <c r="C40" t="s">
        <v>185</v>
      </c>
      <c r="D40" s="7" t="s">
        <v>140</v>
      </c>
    </row>
    <row r="41" spans="2:4" x14ac:dyDescent="0.45">
      <c r="B41" t="s">
        <v>61</v>
      </c>
      <c r="C41" t="s">
        <v>186</v>
      </c>
      <c r="D41" s="7" t="s">
        <v>140</v>
      </c>
    </row>
    <row r="42" spans="2:4" x14ac:dyDescent="0.45">
      <c r="B42" t="s">
        <v>30</v>
      </c>
      <c r="C42" t="s">
        <v>187</v>
      </c>
      <c r="D42" s="7" t="s">
        <v>140</v>
      </c>
    </row>
    <row r="43" spans="2:4" x14ac:dyDescent="0.45">
      <c r="B43" t="s">
        <v>78</v>
      </c>
      <c r="C43" t="s">
        <v>188</v>
      </c>
      <c r="D43" s="7" t="s">
        <v>141</v>
      </c>
    </row>
    <row r="44" spans="2:4" x14ac:dyDescent="0.45">
      <c r="B44" t="s">
        <v>106</v>
      </c>
      <c r="C44" t="s">
        <v>189</v>
      </c>
      <c r="D44" s="7" t="s">
        <v>141</v>
      </c>
    </row>
    <row r="45" spans="2:4" x14ac:dyDescent="0.45">
      <c r="B45" t="s">
        <v>111</v>
      </c>
      <c r="C45" t="s">
        <v>190</v>
      </c>
      <c r="D45" s="7" t="s">
        <v>141</v>
      </c>
    </row>
    <row r="46" spans="2:4" x14ac:dyDescent="0.45">
      <c r="B46" t="s">
        <v>85</v>
      </c>
      <c r="C46" t="s">
        <v>191</v>
      </c>
      <c r="D46" s="7" t="s">
        <v>141</v>
      </c>
    </row>
    <row r="47" spans="2:4" x14ac:dyDescent="0.45">
      <c r="B47" s="7" t="s">
        <v>122</v>
      </c>
      <c r="C47" s="7" t="s">
        <v>192</v>
      </c>
      <c r="D47" s="7" t="s">
        <v>142</v>
      </c>
    </row>
    <row r="48" spans="2:4" x14ac:dyDescent="0.45">
      <c r="B48" s="7" t="s">
        <v>126</v>
      </c>
      <c r="C48" s="7" t="s">
        <v>193</v>
      </c>
      <c r="D48" s="7" t="s">
        <v>142</v>
      </c>
    </row>
    <row r="49" spans="2:4" x14ac:dyDescent="0.45">
      <c r="B49" s="7" t="s">
        <v>123</v>
      </c>
      <c r="C49" s="7" t="s">
        <v>194</v>
      </c>
      <c r="D49" s="7" t="s">
        <v>142</v>
      </c>
    </row>
    <row r="50" spans="2:4" x14ac:dyDescent="0.45">
      <c r="B50" s="7" t="s">
        <v>103</v>
      </c>
      <c r="C50" s="7" t="s">
        <v>195</v>
      </c>
      <c r="D50" s="7" t="s">
        <v>142</v>
      </c>
    </row>
    <row r="51" spans="2:4" x14ac:dyDescent="0.45">
      <c r="B51" t="s">
        <v>20</v>
      </c>
      <c r="C51" t="s">
        <v>196</v>
      </c>
      <c r="D51" s="7" t="s">
        <v>143</v>
      </c>
    </row>
    <row r="52" spans="2:4" x14ac:dyDescent="0.45">
      <c r="B52" t="s">
        <v>94</v>
      </c>
      <c r="C52" t="s">
        <v>197</v>
      </c>
      <c r="D52" s="7" t="s">
        <v>143</v>
      </c>
    </row>
    <row r="53" spans="2:4" x14ac:dyDescent="0.45">
      <c r="B53" t="s">
        <v>68</v>
      </c>
      <c r="C53" t="s">
        <v>198</v>
      </c>
      <c r="D53" s="7" t="s">
        <v>143</v>
      </c>
    </row>
    <row r="54" spans="2:4" x14ac:dyDescent="0.45">
      <c r="B54" t="s">
        <v>41</v>
      </c>
      <c r="C54" t="s">
        <v>199</v>
      </c>
      <c r="D54" s="7" t="s">
        <v>144</v>
      </c>
    </row>
    <row r="55" spans="2:4" x14ac:dyDescent="0.45">
      <c r="B55" t="s">
        <v>13</v>
      </c>
      <c r="C55" t="s">
        <v>200</v>
      </c>
      <c r="D55" s="7" t="s">
        <v>144</v>
      </c>
    </row>
    <row r="56" spans="2:4" x14ac:dyDescent="0.45">
      <c r="B56" t="s">
        <v>89</v>
      </c>
      <c r="C56" t="s">
        <v>201</v>
      </c>
      <c r="D56" s="7" t="s">
        <v>144</v>
      </c>
    </row>
    <row r="57" spans="2:4" x14ac:dyDescent="0.45">
      <c r="B57" t="s">
        <v>124</v>
      </c>
      <c r="C57" t="s">
        <v>202</v>
      </c>
      <c r="D57" s="7" t="s">
        <v>145</v>
      </c>
    </row>
    <row r="58" spans="2:4" x14ac:dyDescent="0.45">
      <c r="B58" t="s">
        <v>90</v>
      </c>
      <c r="C58" t="s">
        <v>203</v>
      </c>
      <c r="D58" s="7" t="s">
        <v>145</v>
      </c>
    </row>
    <row r="59" spans="2:4" x14ac:dyDescent="0.45">
      <c r="B59" t="s">
        <v>95</v>
      </c>
      <c r="C59" t="s">
        <v>706</v>
      </c>
      <c r="D59" s="7" t="s">
        <v>145</v>
      </c>
    </row>
    <row r="60" spans="2:4" x14ac:dyDescent="0.45">
      <c r="B60" t="s">
        <v>80</v>
      </c>
      <c r="C60" t="s">
        <v>204</v>
      </c>
      <c r="D60" s="7" t="s">
        <v>145</v>
      </c>
    </row>
    <row r="61" spans="2:4" x14ac:dyDescent="0.45">
      <c r="B61" t="s">
        <v>107</v>
      </c>
      <c r="C61" t="s">
        <v>205</v>
      </c>
      <c r="D61" s="7" t="s">
        <v>145</v>
      </c>
    </row>
    <row r="62" spans="2:4" x14ac:dyDescent="0.45">
      <c r="B62" t="s">
        <v>97</v>
      </c>
      <c r="C62" t="s">
        <v>206</v>
      </c>
      <c r="D62" s="7" t="s">
        <v>145</v>
      </c>
    </row>
    <row r="63" spans="2:4" x14ac:dyDescent="0.45">
      <c r="B63" t="s">
        <v>102</v>
      </c>
      <c r="C63" t="s">
        <v>207</v>
      </c>
      <c r="D63" s="7" t="s">
        <v>145</v>
      </c>
    </row>
    <row r="64" spans="2:4" x14ac:dyDescent="0.45">
      <c r="B64" t="s">
        <v>10</v>
      </c>
      <c r="C64" t="s">
        <v>208</v>
      </c>
      <c r="D64" s="7" t="s">
        <v>145</v>
      </c>
    </row>
    <row r="65" spans="2:4" x14ac:dyDescent="0.45">
      <c r="B65" t="s">
        <v>38</v>
      </c>
      <c r="C65" t="s">
        <v>209</v>
      </c>
      <c r="D65" s="7" t="s">
        <v>146</v>
      </c>
    </row>
    <row r="66" spans="2:4" x14ac:dyDescent="0.45">
      <c r="B66" t="s">
        <v>50</v>
      </c>
      <c r="C66" t="s">
        <v>210</v>
      </c>
      <c r="D66" s="7" t="s">
        <v>146</v>
      </c>
    </row>
    <row r="67" spans="2:4" x14ac:dyDescent="0.45">
      <c r="B67" t="s">
        <v>17</v>
      </c>
      <c r="C67" t="s">
        <v>211</v>
      </c>
      <c r="D67" s="7" t="s">
        <v>146</v>
      </c>
    </row>
    <row r="68" spans="2:4" x14ac:dyDescent="0.45">
      <c r="B68" t="s">
        <v>66</v>
      </c>
      <c r="C68" t="s">
        <v>212</v>
      </c>
      <c r="D68" s="7" t="s">
        <v>146</v>
      </c>
    </row>
    <row r="69" spans="2:4" x14ac:dyDescent="0.45">
      <c r="B69" t="s">
        <v>87</v>
      </c>
      <c r="C69" t="s">
        <v>213</v>
      </c>
      <c r="D69" s="7" t="s">
        <v>406</v>
      </c>
    </row>
    <row r="70" spans="2:4" x14ac:dyDescent="0.45">
      <c r="B70" t="s">
        <v>57</v>
      </c>
      <c r="C70" t="s">
        <v>214</v>
      </c>
      <c r="D70" s="7" t="s">
        <v>406</v>
      </c>
    </row>
    <row r="71" spans="2:4" x14ac:dyDescent="0.45">
      <c r="B71" t="s">
        <v>105</v>
      </c>
      <c r="C71" t="s">
        <v>215</v>
      </c>
      <c r="D71" s="7" t="s">
        <v>406</v>
      </c>
    </row>
    <row r="72" spans="2:4" x14ac:dyDescent="0.45">
      <c r="B72" t="s">
        <v>21</v>
      </c>
      <c r="C72" t="s">
        <v>707</v>
      </c>
      <c r="D72" s="7" t="s">
        <v>406</v>
      </c>
    </row>
    <row r="73" spans="2:4" x14ac:dyDescent="0.45">
      <c r="B73" t="s">
        <v>128</v>
      </c>
      <c r="C73" t="s">
        <v>216</v>
      </c>
      <c r="D73" s="7" t="s">
        <v>406</v>
      </c>
    </row>
    <row r="74" spans="2:4" x14ac:dyDescent="0.45">
      <c r="B74" t="s">
        <v>22</v>
      </c>
      <c r="C74" t="s">
        <v>407</v>
      </c>
      <c r="D74" s="7" t="s">
        <v>406</v>
      </c>
    </row>
    <row r="75" spans="2:4" x14ac:dyDescent="0.45">
      <c r="B75" t="s">
        <v>14</v>
      </c>
      <c r="C75" t="s">
        <v>217</v>
      </c>
      <c r="D75" s="7" t="s">
        <v>406</v>
      </c>
    </row>
    <row r="76" spans="2:4" x14ac:dyDescent="0.45">
      <c r="B76" t="s">
        <v>86</v>
      </c>
      <c r="C76" t="s">
        <v>699</v>
      </c>
      <c r="D76" s="7" t="s">
        <v>406</v>
      </c>
    </row>
    <row r="77" spans="2:4" x14ac:dyDescent="0.45">
      <c r="B77" t="s">
        <v>58</v>
      </c>
      <c r="C77" t="s">
        <v>218</v>
      </c>
      <c r="D77" s="7" t="s">
        <v>406</v>
      </c>
    </row>
    <row r="78" spans="2:4" x14ac:dyDescent="0.45">
      <c r="B78" t="s">
        <v>96</v>
      </c>
      <c r="C78" t="s">
        <v>219</v>
      </c>
      <c r="D78" s="7" t="s">
        <v>147</v>
      </c>
    </row>
    <row r="79" spans="2:4" x14ac:dyDescent="0.45">
      <c r="B79" t="s">
        <v>104</v>
      </c>
      <c r="C79" t="s">
        <v>220</v>
      </c>
      <c r="D79" s="7" t="s">
        <v>147</v>
      </c>
    </row>
    <row r="80" spans="2:4" x14ac:dyDescent="0.45">
      <c r="B80" t="s">
        <v>34</v>
      </c>
      <c r="C80" t="s">
        <v>221</v>
      </c>
      <c r="D80" s="7" t="s">
        <v>147</v>
      </c>
    </row>
    <row r="81" spans="2:4" x14ac:dyDescent="0.45">
      <c r="B81" t="s">
        <v>83</v>
      </c>
      <c r="C81" t="s">
        <v>222</v>
      </c>
      <c r="D81" s="7" t="s">
        <v>147</v>
      </c>
    </row>
    <row r="82" spans="2:4" x14ac:dyDescent="0.45">
      <c r="B82" t="s">
        <v>49</v>
      </c>
      <c r="C82" t="s">
        <v>223</v>
      </c>
      <c r="D82" s="7" t="s">
        <v>147</v>
      </c>
    </row>
    <row r="83" spans="2:4" x14ac:dyDescent="0.45">
      <c r="B83" t="s">
        <v>16</v>
      </c>
      <c r="C83" t="s">
        <v>224</v>
      </c>
      <c r="D83" s="7" t="s">
        <v>147</v>
      </c>
    </row>
    <row r="84" spans="2:4" x14ac:dyDescent="0.45">
      <c r="B84" t="s">
        <v>55</v>
      </c>
      <c r="C84" t="s">
        <v>225</v>
      </c>
      <c r="D84" s="7" t="s">
        <v>148</v>
      </c>
    </row>
    <row r="85" spans="2:4" x14ac:dyDescent="0.45">
      <c r="B85" t="s">
        <v>64</v>
      </c>
      <c r="C85" t="s">
        <v>226</v>
      </c>
      <c r="D85" s="7" t="s">
        <v>148</v>
      </c>
    </row>
    <row r="86" spans="2:4" x14ac:dyDescent="0.45">
      <c r="B86" t="s">
        <v>56</v>
      </c>
      <c r="C86" t="s">
        <v>227</v>
      </c>
      <c r="D86" s="7" t="s">
        <v>148</v>
      </c>
    </row>
    <row r="87" spans="2:4" x14ac:dyDescent="0.45">
      <c r="B87" t="s">
        <v>42</v>
      </c>
      <c r="C87" t="s">
        <v>228</v>
      </c>
      <c r="D87" s="7" t="s">
        <v>149</v>
      </c>
    </row>
    <row r="88" spans="2:4" x14ac:dyDescent="0.45">
      <c r="B88" t="s">
        <v>84</v>
      </c>
      <c r="C88" t="s">
        <v>230</v>
      </c>
      <c r="D88" s="7" t="s">
        <v>149</v>
      </c>
    </row>
    <row r="89" spans="2:4" x14ac:dyDescent="0.45">
      <c r="B89" t="s">
        <v>43</v>
      </c>
      <c r="C89" t="s">
        <v>708</v>
      </c>
      <c r="D89" s="7" t="s">
        <v>149</v>
      </c>
    </row>
    <row r="90" spans="2:4" x14ac:dyDescent="0.45">
      <c r="B90" t="s">
        <v>52</v>
      </c>
      <c r="C90" t="s">
        <v>231</v>
      </c>
      <c r="D90" s="7" t="s">
        <v>149</v>
      </c>
    </row>
    <row r="91" spans="2:4" x14ac:dyDescent="0.45">
      <c r="B91" t="s">
        <v>100</v>
      </c>
      <c r="C91" t="s">
        <v>232</v>
      </c>
      <c r="D91" s="7" t="s">
        <v>150</v>
      </c>
    </row>
    <row r="92" spans="2:4" x14ac:dyDescent="0.45">
      <c r="B92" t="s">
        <v>119</v>
      </c>
      <c r="C92" t="s">
        <v>233</v>
      </c>
      <c r="D92" s="7" t="s">
        <v>150</v>
      </c>
    </row>
    <row r="93" spans="2:4" x14ac:dyDescent="0.45">
      <c r="B93" t="s">
        <v>37</v>
      </c>
      <c r="C93" t="s">
        <v>234</v>
      </c>
      <c r="D93" s="7" t="s">
        <v>150</v>
      </c>
    </row>
    <row r="94" spans="2:4" x14ac:dyDescent="0.45">
      <c r="B94" t="s">
        <v>15</v>
      </c>
      <c r="C94" t="s">
        <v>235</v>
      </c>
      <c r="D94" s="7" t="s">
        <v>150</v>
      </c>
    </row>
    <row r="95" spans="2:4" x14ac:dyDescent="0.45">
      <c r="B95" t="s">
        <v>101</v>
      </c>
      <c r="C95" t="s">
        <v>236</v>
      </c>
      <c r="D95" s="7" t="s">
        <v>150</v>
      </c>
    </row>
    <row r="96" spans="2:4" x14ac:dyDescent="0.45">
      <c r="B96" t="s">
        <v>129</v>
      </c>
      <c r="C96" t="s">
        <v>237</v>
      </c>
      <c r="D96" s="7" t="s">
        <v>150</v>
      </c>
    </row>
    <row r="97" spans="2:4" x14ac:dyDescent="0.45">
      <c r="B97" t="s">
        <v>125</v>
      </c>
      <c r="C97" t="s">
        <v>238</v>
      </c>
      <c r="D97" s="7" t="s">
        <v>151</v>
      </c>
    </row>
    <row r="98" spans="2:4" x14ac:dyDescent="0.45">
      <c r="B98" t="s">
        <v>76</v>
      </c>
      <c r="C98" t="s">
        <v>239</v>
      </c>
      <c r="D98" s="7" t="s">
        <v>151</v>
      </c>
    </row>
    <row r="99" spans="2:4" x14ac:dyDescent="0.45">
      <c r="B99" t="s">
        <v>99</v>
      </c>
      <c r="C99" t="s">
        <v>240</v>
      </c>
      <c r="D99" s="7" t="s">
        <v>151</v>
      </c>
    </row>
    <row r="100" spans="2:4" x14ac:dyDescent="0.45">
      <c r="B100" t="s">
        <v>54</v>
      </c>
      <c r="C100" t="s">
        <v>241</v>
      </c>
      <c r="D100" s="7" t="s">
        <v>151</v>
      </c>
    </row>
    <row r="101" spans="2:4" x14ac:dyDescent="0.45">
      <c r="B101" t="s">
        <v>23</v>
      </c>
      <c r="C101" t="s">
        <v>242</v>
      </c>
      <c r="D101" s="7" t="s">
        <v>152</v>
      </c>
    </row>
    <row r="102" spans="2:4" x14ac:dyDescent="0.45">
      <c r="B102" t="s">
        <v>77</v>
      </c>
      <c r="C102" t="s">
        <v>243</v>
      </c>
      <c r="D102" s="7" t="s">
        <v>152</v>
      </c>
    </row>
    <row r="103" spans="2:4" x14ac:dyDescent="0.45">
      <c r="B103" t="s">
        <v>12</v>
      </c>
      <c r="C103" t="s">
        <v>244</v>
      </c>
      <c r="D103" s="7" t="s">
        <v>152</v>
      </c>
    </row>
    <row r="104" spans="2:4" x14ac:dyDescent="0.45">
      <c r="B104" t="s">
        <v>53</v>
      </c>
      <c r="C104" t="s">
        <v>245</v>
      </c>
      <c r="D104" s="7" t="s">
        <v>152</v>
      </c>
    </row>
    <row r="105" spans="2:4" x14ac:dyDescent="0.45">
      <c r="B105" t="s">
        <v>51</v>
      </c>
      <c r="C105" t="s">
        <v>246</v>
      </c>
      <c r="D105" s="7" t="s">
        <v>152</v>
      </c>
    </row>
    <row r="106" spans="2:4" x14ac:dyDescent="0.45">
      <c r="B106" t="s">
        <v>11</v>
      </c>
      <c r="C106" t="s">
        <v>247</v>
      </c>
      <c r="D106" s="7" t="s">
        <v>152</v>
      </c>
    </row>
    <row r="107" spans="2:4" x14ac:dyDescent="0.45">
      <c r="B107" t="s">
        <v>79</v>
      </c>
      <c r="C107" t="s">
        <v>709</v>
      </c>
      <c r="D107" s="7" t="s">
        <v>153</v>
      </c>
    </row>
    <row r="108" spans="2:4" x14ac:dyDescent="0.45">
      <c r="B108" t="s">
        <v>71</v>
      </c>
      <c r="C108" t="s">
        <v>248</v>
      </c>
      <c r="D108" s="7" t="s">
        <v>153</v>
      </c>
    </row>
    <row r="109" spans="2:4" x14ac:dyDescent="0.45">
      <c r="B109" t="s">
        <v>69</v>
      </c>
      <c r="C109" t="s">
        <v>710</v>
      </c>
      <c r="D109" s="7" t="s">
        <v>153</v>
      </c>
    </row>
    <row r="110" spans="2:4" x14ac:dyDescent="0.45">
      <c r="B110" t="s">
        <v>121</v>
      </c>
      <c r="C110" t="s">
        <v>249</v>
      </c>
      <c r="D110" s="7" t="s">
        <v>153</v>
      </c>
    </row>
    <row r="111" spans="2:4" x14ac:dyDescent="0.45">
      <c r="B111" t="s">
        <v>127</v>
      </c>
      <c r="C111" t="s">
        <v>711</v>
      </c>
      <c r="D111" s="7" t="s">
        <v>153</v>
      </c>
    </row>
    <row r="112" spans="2:4" x14ac:dyDescent="0.45">
      <c r="B112" t="s">
        <v>59</v>
      </c>
      <c r="C112" t="s">
        <v>250</v>
      </c>
      <c r="D112" s="7" t="s">
        <v>153</v>
      </c>
    </row>
    <row r="113" spans="2:4" x14ac:dyDescent="0.45">
      <c r="B113" t="s">
        <v>93</v>
      </c>
      <c r="C113" t="s">
        <v>251</v>
      </c>
      <c r="D113" s="7" t="s">
        <v>153</v>
      </c>
    </row>
    <row r="114" spans="2:4" x14ac:dyDescent="0.45">
      <c r="B114" t="s">
        <v>67</v>
      </c>
      <c r="C114" t="s">
        <v>252</v>
      </c>
      <c r="D114" s="7" t="s">
        <v>153</v>
      </c>
    </row>
    <row r="115" spans="2:4" x14ac:dyDescent="0.45">
      <c r="B115" t="s">
        <v>60</v>
      </c>
      <c r="C115" t="s">
        <v>253</v>
      </c>
      <c r="D115" s="7" t="s">
        <v>153</v>
      </c>
    </row>
    <row r="116" spans="2:4" x14ac:dyDescent="0.45">
      <c r="B116" t="s">
        <v>24</v>
      </c>
      <c r="C116" t="s">
        <v>254</v>
      </c>
      <c r="D116" s="7" t="s">
        <v>153</v>
      </c>
    </row>
    <row r="117" spans="2:4" x14ac:dyDescent="0.45">
      <c r="B117" t="s">
        <v>115</v>
      </c>
      <c r="C117" t="s">
        <v>255</v>
      </c>
      <c r="D117" s="7" t="s">
        <v>153</v>
      </c>
    </row>
    <row r="118" spans="2:4" x14ac:dyDescent="0.45">
      <c r="B118" t="s">
        <v>70</v>
      </c>
      <c r="C118" t="s">
        <v>256</v>
      </c>
      <c r="D118" s="7" t="s">
        <v>153</v>
      </c>
    </row>
    <row r="119" spans="2:4" x14ac:dyDescent="0.45">
      <c r="B119" t="s">
        <v>32</v>
      </c>
      <c r="C119" t="s">
        <v>257</v>
      </c>
      <c r="D119" s="7" t="s">
        <v>154</v>
      </c>
    </row>
    <row r="120" spans="2:4" x14ac:dyDescent="0.45">
      <c r="B120" t="s">
        <v>18</v>
      </c>
      <c r="C120" t="s">
        <v>258</v>
      </c>
      <c r="D120" s="7" t="s">
        <v>154</v>
      </c>
    </row>
    <row r="121" spans="2:4" x14ac:dyDescent="0.45">
      <c r="B121" t="s">
        <v>117</v>
      </c>
      <c r="C121" t="s">
        <v>259</v>
      </c>
      <c r="D121" s="7" t="s">
        <v>154</v>
      </c>
    </row>
    <row r="122" spans="2:4" x14ac:dyDescent="0.45">
      <c r="B122" t="s">
        <v>31</v>
      </c>
      <c r="C122" t="s">
        <v>260</v>
      </c>
      <c r="D122" s="7" t="s">
        <v>154</v>
      </c>
    </row>
    <row r="123" spans="2:4" x14ac:dyDescent="0.45">
      <c r="B123" t="s">
        <v>91</v>
      </c>
      <c r="C123" t="s">
        <v>261</v>
      </c>
      <c r="D123" s="7" t="s">
        <v>154</v>
      </c>
    </row>
    <row r="124" spans="2:4" x14ac:dyDescent="0.45">
      <c r="B124" t="s">
        <v>120</v>
      </c>
      <c r="C124" t="s">
        <v>262</v>
      </c>
      <c r="D124" s="7" t="s">
        <v>154</v>
      </c>
    </row>
    <row r="125" spans="2:4" x14ac:dyDescent="0.45">
      <c r="D125" s="7" t="s">
        <v>408</v>
      </c>
    </row>
    <row r="126" spans="2:4" x14ac:dyDescent="0.45">
      <c r="D126" s="7" t="s">
        <v>409</v>
      </c>
    </row>
    <row r="128" spans="2:4" x14ac:dyDescent="0.45">
      <c r="B128" s="57"/>
      <c r="C128" s="17"/>
    </row>
    <row r="129" spans="2:3" x14ac:dyDescent="0.45">
      <c r="B129" s="17"/>
      <c r="C129" s="17"/>
    </row>
  </sheetData>
  <phoneticPr fontId="1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94"/>
  <sheetViews>
    <sheetView workbookViewId="0"/>
  </sheetViews>
  <sheetFormatPr defaultColWidth="8.73046875" defaultRowHeight="14.25" x14ac:dyDescent="0.45"/>
  <cols>
    <col min="1" max="1" width="3.265625" style="18" customWidth="1"/>
    <col min="2" max="2" width="158.3984375" style="20" customWidth="1"/>
    <col min="3" max="16384" width="8.73046875" style="18"/>
  </cols>
  <sheetData>
    <row r="1" spans="1:21" x14ac:dyDescent="0.45">
      <c r="A1" s="42"/>
    </row>
    <row r="8" spans="1:21" ht="21" x14ac:dyDescent="0.65">
      <c r="B8" s="33" t="s">
        <v>293</v>
      </c>
      <c r="C8" s="34"/>
      <c r="D8" s="34"/>
      <c r="E8" s="34"/>
      <c r="F8" s="34"/>
      <c r="G8" s="34"/>
      <c r="H8" s="34"/>
      <c r="I8" s="34"/>
      <c r="J8" s="34"/>
      <c r="K8" s="34"/>
      <c r="L8" s="34"/>
      <c r="M8" s="34"/>
      <c r="N8" s="34"/>
      <c r="O8" s="34"/>
      <c r="P8" s="34"/>
      <c r="Q8" s="34"/>
      <c r="R8" s="34"/>
      <c r="S8" s="34"/>
      <c r="T8" s="34"/>
      <c r="U8" s="34"/>
    </row>
    <row r="9" spans="1:21" x14ac:dyDescent="0.45">
      <c r="B9" s="35" t="s">
        <v>391</v>
      </c>
      <c r="C9" s="34"/>
      <c r="D9" s="34"/>
      <c r="E9" s="34"/>
      <c r="F9" s="34"/>
      <c r="G9" s="34"/>
      <c r="H9" s="34"/>
      <c r="I9" s="34"/>
      <c r="J9" s="34"/>
      <c r="K9" s="34"/>
      <c r="L9" s="34"/>
      <c r="M9" s="34"/>
      <c r="N9" s="34"/>
      <c r="O9" s="34"/>
      <c r="P9" s="34"/>
      <c r="Q9" s="34"/>
      <c r="R9" s="34"/>
      <c r="S9" s="34"/>
      <c r="T9" s="34"/>
      <c r="U9" s="34"/>
    </row>
    <row r="10" spans="1:21" x14ac:dyDescent="0.45">
      <c r="B10" s="35"/>
      <c r="C10" s="34"/>
      <c r="D10" s="34"/>
      <c r="E10" s="34"/>
      <c r="F10" s="34"/>
      <c r="G10" s="34"/>
      <c r="H10" s="34"/>
      <c r="I10" s="34"/>
      <c r="J10" s="34"/>
      <c r="K10" s="34"/>
      <c r="L10" s="34"/>
      <c r="M10" s="34"/>
      <c r="N10" s="34"/>
      <c r="O10" s="34"/>
      <c r="P10" s="34"/>
      <c r="Q10" s="34"/>
      <c r="R10" s="34"/>
      <c r="S10" s="34"/>
      <c r="T10" s="34"/>
      <c r="U10" s="34"/>
    </row>
    <row r="11" spans="1:21" x14ac:dyDescent="0.45">
      <c r="B11" s="36" t="s">
        <v>294</v>
      </c>
      <c r="C11" s="34"/>
      <c r="D11" s="34"/>
      <c r="E11" s="34"/>
      <c r="F11" s="34"/>
      <c r="G11" s="34"/>
      <c r="H11" s="34"/>
      <c r="I11" s="34"/>
      <c r="J11" s="34"/>
      <c r="K11" s="34"/>
      <c r="L11" s="34"/>
      <c r="M11" s="34"/>
      <c r="N11" s="34"/>
      <c r="O11" s="34"/>
      <c r="P11" s="34"/>
      <c r="Q11" s="34"/>
      <c r="R11" s="34"/>
      <c r="S11" s="34"/>
      <c r="T11" s="34"/>
      <c r="U11" s="34"/>
    </row>
    <row r="12" spans="1:21" ht="28.5" x14ac:dyDescent="0.45">
      <c r="B12" s="37" t="s">
        <v>309</v>
      </c>
      <c r="C12" s="34"/>
      <c r="D12" s="34"/>
      <c r="E12" s="34"/>
      <c r="F12" s="34"/>
      <c r="G12" s="34"/>
      <c r="H12" s="34"/>
      <c r="I12" s="34"/>
      <c r="J12" s="34"/>
      <c r="K12" s="34"/>
      <c r="L12" s="34"/>
      <c r="M12" s="34"/>
      <c r="N12" s="34"/>
      <c r="O12" s="34"/>
      <c r="P12" s="34"/>
      <c r="Q12" s="34"/>
      <c r="R12" s="34"/>
      <c r="S12" s="34"/>
      <c r="T12" s="34"/>
      <c r="U12" s="34"/>
    </row>
    <row r="13" spans="1:21" x14ac:dyDescent="0.45">
      <c r="B13" s="38" t="s">
        <v>306</v>
      </c>
      <c r="C13" s="34"/>
      <c r="D13" s="34"/>
      <c r="E13" s="34"/>
      <c r="F13" s="34"/>
      <c r="G13" s="34"/>
      <c r="H13" s="34"/>
      <c r="I13" s="34"/>
      <c r="J13" s="34"/>
      <c r="K13" s="34"/>
      <c r="L13" s="34"/>
      <c r="M13" s="34"/>
      <c r="N13" s="34"/>
      <c r="O13" s="34"/>
      <c r="P13" s="34"/>
      <c r="Q13" s="34"/>
      <c r="R13" s="34"/>
      <c r="S13" s="34"/>
      <c r="T13" s="34"/>
      <c r="U13" s="34"/>
    </row>
    <row r="14" spans="1:21" x14ac:dyDescent="0.45">
      <c r="B14" s="39"/>
      <c r="C14" s="34"/>
      <c r="D14" s="34"/>
      <c r="E14" s="34"/>
      <c r="F14" s="34"/>
      <c r="G14" s="34"/>
      <c r="H14" s="34"/>
      <c r="I14" s="34"/>
      <c r="J14" s="34"/>
      <c r="K14" s="34"/>
      <c r="L14" s="34"/>
      <c r="M14" s="34"/>
      <c r="N14" s="34"/>
      <c r="O14" s="34"/>
      <c r="P14" s="34"/>
      <c r="Q14" s="34"/>
      <c r="R14" s="34"/>
      <c r="S14" s="34"/>
      <c r="T14" s="34"/>
      <c r="U14" s="34"/>
    </row>
    <row r="15" spans="1:21" x14ac:dyDescent="0.45">
      <c r="B15" s="36" t="s">
        <v>295</v>
      </c>
      <c r="C15" s="34"/>
      <c r="D15" s="34"/>
      <c r="E15" s="34"/>
      <c r="F15" s="34"/>
      <c r="G15" s="34"/>
      <c r="H15" s="34"/>
      <c r="I15" s="34"/>
      <c r="J15" s="34"/>
      <c r="K15" s="34"/>
      <c r="L15" s="34"/>
      <c r="M15" s="34"/>
      <c r="N15" s="34"/>
      <c r="O15" s="34"/>
      <c r="P15" s="34"/>
      <c r="Q15" s="34"/>
      <c r="R15" s="34"/>
      <c r="S15" s="34"/>
      <c r="T15" s="34"/>
      <c r="U15" s="34"/>
    </row>
    <row r="16" spans="1:21" x14ac:dyDescent="0.45">
      <c r="B16" s="56" t="s">
        <v>392</v>
      </c>
      <c r="C16" s="34"/>
      <c r="D16" s="34"/>
      <c r="E16" s="34"/>
      <c r="F16" s="34"/>
      <c r="G16" s="34"/>
      <c r="H16" s="34"/>
      <c r="I16" s="34"/>
      <c r="J16" s="34"/>
      <c r="K16" s="34"/>
      <c r="L16" s="34"/>
      <c r="M16" s="34"/>
      <c r="N16" s="34"/>
      <c r="O16" s="34"/>
      <c r="P16" s="34"/>
      <c r="Q16" s="34"/>
      <c r="R16" s="34"/>
      <c r="S16" s="34"/>
      <c r="T16" s="34"/>
      <c r="U16" s="34"/>
    </row>
    <row r="17" spans="2:21" ht="28.5" x14ac:dyDescent="0.45">
      <c r="B17" s="39" t="s">
        <v>666</v>
      </c>
      <c r="C17" s="34"/>
      <c r="D17" s="34"/>
      <c r="E17" s="34"/>
      <c r="F17" s="34"/>
      <c r="G17" s="34"/>
      <c r="H17" s="34"/>
      <c r="I17" s="34"/>
      <c r="J17" s="34"/>
      <c r="K17" s="34"/>
      <c r="L17" s="34"/>
      <c r="M17" s="34"/>
      <c r="N17" s="34"/>
      <c r="O17" s="34"/>
      <c r="P17" s="34"/>
      <c r="Q17" s="34"/>
      <c r="R17" s="34"/>
      <c r="S17" s="34"/>
      <c r="T17" s="34"/>
      <c r="U17" s="34"/>
    </row>
    <row r="18" spans="2:21" x14ac:dyDescent="0.45">
      <c r="B18" s="39" t="s">
        <v>310</v>
      </c>
      <c r="C18" s="34"/>
      <c r="D18" s="34"/>
      <c r="E18" s="34"/>
      <c r="F18" s="34"/>
      <c r="G18" s="34"/>
      <c r="H18" s="34"/>
      <c r="I18" s="34"/>
      <c r="J18" s="34"/>
      <c r="K18" s="34"/>
      <c r="L18" s="34"/>
      <c r="M18" s="34"/>
      <c r="N18" s="34"/>
      <c r="O18" s="34"/>
      <c r="P18" s="34"/>
      <c r="Q18" s="34"/>
      <c r="R18" s="34"/>
      <c r="S18" s="34"/>
      <c r="T18" s="34"/>
      <c r="U18" s="34"/>
    </row>
    <row r="19" spans="2:21" x14ac:dyDescent="0.45">
      <c r="B19" s="39" t="s">
        <v>311</v>
      </c>
      <c r="C19" s="34"/>
      <c r="D19" s="34"/>
      <c r="E19" s="34"/>
      <c r="F19" s="34"/>
      <c r="G19" s="34"/>
      <c r="H19" s="34"/>
      <c r="I19" s="34"/>
      <c r="J19" s="34"/>
      <c r="K19" s="34"/>
      <c r="L19" s="34"/>
      <c r="M19" s="34"/>
      <c r="N19" s="34"/>
      <c r="O19" s="34"/>
      <c r="P19" s="34"/>
      <c r="Q19" s="34"/>
      <c r="R19" s="34"/>
      <c r="S19" s="34"/>
      <c r="T19" s="34"/>
      <c r="U19" s="34"/>
    </row>
    <row r="20" spans="2:21" x14ac:dyDescent="0.45">
      <c r="B20" s="39"/>
      <c r="C20" s="34"/>
      <c r="D20" s="34"/>
      <c r="E20" s="34"/>
      <c r="F20" s="34"/>
      <c r="G20" s="34"/>
      <c r="H20" s="34"/>
      <c r="I20" s="34"/>
      <c r="J20" s="34"/>
      <c r="K20" s="34"/>
      <c r="L20" s="34"/>
      <c r="M20" s="34"/>
      <c r="N20" s="34"/>
      <c r="O20" s="34"/>
      <c r="P20" s="34"/>
      <c r="Q20" s="34"/>
      <c r="R20" s="34"/>
      <c r="S20" s="34"/>
      <c r="T20" s="34"/>
      <c r="U20" s="34"/>
    </row>
    <row r="21" spans="2:21" x14ac:dyDescent="0.45">
      <c r="B21" s="39" t="s">
        <v>296</v>
      </c>
      <c r="C21" s="34"/>
      <c r="D21" s="34"/>
      <c r="E21" s="34"/>
      <c r="F21" s="34"/>
      <c r="G21" s="34"/>
      <c r="H21" s="34"/>
      <c r="I21" s="34"/>
      <c r="J21" s="34"/>
      <c r="K21" s="34"/>
      <c r="L21" s="34"/>
      <c r="M21" s="34"/>
      <c r="N21" s="34"/>
      <c r="O21" s="34"/>
      <c r="P21" s="34"/>
      <c r="Q21" s="34"/>
      <c r="R21" s="34"/>
      <c r="S21" s="34"/>
      <c r="T21" s="34"/>
      <c r="U21" s="34"/>
    </row>
    <row r="22" spans="2:21" x14ac:dyDescent="0.45">
      <c r="B22" s="40" t="s">
        <v>297</v>
      </c>
      <c r="C22" s="34"/>
      <c r="D22" s="34"/>
      <c r="E22" s="34"/>
      <c r="F22" s="34"/>
      <c r="G22" s="34"/>
      <c r="H22" s="34"/>
      <c r="I22" s="34"/>
      <c r="J22" s="34"/>
      <c r="K22" s="34"/>
      <c r="L22" s="34"/>
      <c r="M22" s="34"/>
      <c r="N22" s="34"/>
      <c r="O22" s="34"/>
      <c r="P22" s="34"/>
      <c r="Q22" s="34"/>
      <c r="R22" s="34"/>
      <c r="S22" s="34"/>
      <c r="T22" s="34"/>
      <c r="U22" s="34"/>
    </row>
    <row r="23" spans="2:21" x14ac:dyDescent="0.45">
      <c r="B23" s="40" t="s">
        <v>298</v>
      </c>
      <c r="C23" s="34"/>
      <c r="D23" s="34"/>
      <c r="E23" s="34"/>
      <c r="F23" s="34"/>
      <c r="G23" s="34"/>
      <c r="H23" s="34"/>
      <c r="I23" s="34"/>
      <c r="J23" s="34"/>
      <c r="K23" s="34"/>
      <c r="L23" s="34"/>
      <c r="M23" s="34"/>
      <c r="N23" s="34"/>
      <c r="O23" s="34"/>
      <c r="P23" s="34"/>
      <c r="Q23" s="34"/>
      <c r="R23" s="34"/>
      <c r="S23" s="34"/>
      <c r="T23" s="34"/>
      <c r="U23" s="34"/>
    </row>
    <row r="24" spans="2:21" x14ac:dyDescent="0.45">
      <c r="B24" s="40" t="s">
        <v>299</v>
      </c>
      <c r="C24" s="34"/>
      <c r="D24" s="34"/>
      <c r="E24" s="34"/>
      <c r="F24" s="34"/>
      <c r="G24" s="34"/>
      <c r="H24" s="34"/>
      <c r="I24" s="34"/>
      <c r="J24" s="34"/>
      <c r="K24" s="34"/>
      <c r="L24" s="34"/>
      <c r="M24" s="34"/>
      <c r="N24" s="34"/>
      <c r="O24" s="34"/>
      <c r="P24" s="34"/>
      <c r="Q24" s="34"/>
      <c r="R24" s="34"/>
      <c r="S24" s="34"/>
      <c r="T24" s="34"/>
      <c r="U24" s="34"/>
    </row>
    <row r="25" spans="2:21" x14ac:dyDescent="0.45">
      <c r="B25" s="40" t="s">
        <v>300</v>
      </c>
      <c r="C25" s="34"/>
      <c r="D25" s="34"/>
      <c r="E25" s="34"/>
      <c r="F25" s="34"/>
      <c r="G25" s="34"/>
      <c r="H25" s="34"/>
      <c r="I25" s="34"/>
      <c r="J25" s="34"/>
      <c r="K25" s="34"/>
      <c r="L25" s="34"/>
      <c r="M25" s="34"/>
      <c r="N25" s="34"/>
      <c r="O25" s="34"/>
      <c r="P25" s="34"/>
      <c r="Q25" s="34"/>
      <c r="R25" s="34"/>
      <c r="S25" s="34"/>
      <c r="T25" s="34"/>
      <c r="U25" s="34"/>
    </row>
    <row r="26" spans="2:21" x14ac:dyDescent="0.45">
      <c r="B26" s="39"/>
      <c r="C26" s="34"/>
      <c r="D26" s="34"/>
      <c r="E26" s="34"/>
      <c r="F26" s="34"/>
      <c r="G26" s="34"/>
      <c r="H26" s="34"/>
      <c r="I26" s="34"/>
      <c r="J26" s="34"/>
      <c r="K26" s="34"/>
      <c r="L26" s="34"/>
      <c r="M26" s="34"/>
      <c r="N26" s="34"/>
      <c r="O26" s="34"/>
      <c r="P26" s="34"/>
      <c r="Q26" s="34"/>
      <c r="R26" s="34"/>
      <c r="S26" s="34"/>
      <c r="T26" s="34"/>
      <c r="U26" s="34"/>
    </row>
    <row r="27" spans="2:21" ht="28.5" x14ac:dyDescent="0.45">
      <c r="B27" s="39" t="s">
        <v>355</v>
      </c>
      <c r="C27" s="34"/>
      <c r="D27" s="34"/>
      <c r="E27" s="34"/>
      <c r="F27" s="34"/>
      <c r="G27" s="34"/>
      <c r="H27" s="34"/>
      <c r="I27" s="34"/>
      <c r="J27" s="34"/>
      <c r="K27" s="34"/>
      <c r="L27" s="34"/>
      <c r="M27" s="34"/>
      <c r="N27" s="34"/>
      <c r="O27" s="34"/>
      <c r="P27" s="34"/>
      <c r="Q27" s="34"/>
      <c r="R27" s="34"/>
      <c r="S27" s="34"/>
      <c r="T27" s="34"/>
      <c r="U27" s="34"/>
    </row>
    <row r="28" spans="2:21" x14ac:dyDescent="0.45">
      <c r="B28" s="39"/>
      <c r="C28" s="34"/>
      <c r="D28" s="34"/>
      <c r="E28" s="34"/>
      <c r="F28" s="34"/>
      <c r="G28" s="34"/>
      <c r="H28" s="34"/>
      <c r="I28" s="34"/>
      <c r="J28" s="34"/>
      <c r="K28" s="34"/>
      <c r="L28" s="34"/>
      <c r="M28" s="34"/>
      <c r="N28" s="34"/>
      <c r="O28" s="34"/>
      <c r="P28" s="34"/>
      <c r="Q28" s="34"/>
      <c r="R28" s="34"/>
      <c r="S28" s="34"/>
      <c r="T28" s="34"/>
      <c r="U28" s="34"/>
    </row>
    <row r="29" spans="2:21" x14ac:dyDescent="0.45">
      <c r="B29" s="36" t="s">
        <v>301</v>
      </c>
      <c r="C29" s="34"/>
      <c r="D29" s="34"/>
      <c r="E29" s="34"/>
      <c r="F29" s="34"/>
      <c r="G29" s="34"/>
      <c r="H29" s="34"/>
      <c r="I29" s="34"/>
      <c r="J29" s="34"/>
      <c r="K29" s="34"/>
      <c r="L29" s="34"/>
      <c r="M29" s="34"/>
      <c r="N29" s="34"/>
      <c r="O29" s="34"/>
      <c r="P29" s="34"/>
      <c r="Q29" s="34"/>
      <c r="R29" s="34"/>
      <c r="S29" s="34"/>
      <c r="T29" s="34"/>
      <c r="U29" s="34"/>
    </row>
    <row r="30" spans="2:21" ht="21.75" customHeight="1" x14ac:dyDescent="0.45">
      <c r="B30" s="82" t="s">
        <v>695</v>
      </c>
      <c r="C30" s="34"/>
      <c r="D30" s="34"/>
      <c r="E30" s="34"/>
      <c r="F30" s="34"/>
      <c r="G30" s="34"/>
      <c r="H30" s="34"/>
      <c r="I30" s="34"/>
      <c r="J30" s="34"/>
      <c r="K30" s="34"/>
      <c r="L30" s="34"/>
      <c r="M30" s="34"/>
      <c r="N30" s="34"/>
      <c r="O30" s="34"/>
      <c r="P30" s="34"/>
      <c r="Q30" s="34"/>
      <c r="R30" s="34"/>
      <c r="S30" s="34"/>
      <c r="T30" s="34"/>
      <c r="U30" s="34"/>
    </row>
    <row r="31" spans="2:21" ht="28.5" x14ac:dyDescent="0.45">
      <c r="B31" s="39" t="s">
        <v>693</v>
      </c>
      <c r="C31" s="34"/>
      <c r="D31" s="34"/>
      <c r="E31" s="34"/>
      <c r="F31" s="34"/>
      <c r="G31" s="34"/>
      <c r="H31" s="34"/>
      <c r="I31" s="34"/>
      <c r="J31" s="34"/>
      <c r="K31" s="34"/>
      <c r="L31" s="34"/>
      <c r="M31" s="34"/>
      <c r="N31" s="34"/>
      <c r="O31" s="34"/>
      <c r="P31" s="34"/>
      <c r="Q31" s="34"/>
      <c r="R31" s="34"/>
      <c r="S31" s="34"/>
      <c r="T31" s="34"/>
      <c r="U31" s="34"/>
    </row>
    <row r="32" spans="2:21" x14ac:dyDescent="0.45">
      <c r="B32" s="41" t="s">
        <v>694</v>
      </c>
      <c r="C32" s="34"/>
      <c r="D32" s="34"/>
      <c r="E32" s="34"/>
      <c r="F32" s="34"/>
      <c r="G32" s="34"/>
      <c r="H32" s="34"/>
      <c r="I32" s="34"/>
      <c r="J32" s="34"/>
      <c r="K32" s="34"/>
      <c r="L32" s="34"/>
      <c r="M32" s="34"/>
      <c r="N32" s="34"/>
      <c r="O32" s="34"/>
      <c r="P32" s="34"/>
      <c r="Q32" s="34"/>
      <c r="R32" s="34"/>
      <c r="S32" s="34"/>
      <c r="T32" s="34"/>
      <c r="U32" s="34"/>
    </row>
    <row r="33" spans="2:21" x14ac:dyDescent="0.45">
      <c r="B33" s="39"/>
      <c r="C33" s="34"/>
      <c r="D33" s="34"/>
      <c r="E33" s="34"/>
      <c r="F33" s="34"/>
      <c r="G33" s="34"/>
      <c r="H33" s="34"/>
      <c r="I33" s="34"/>
      <c r="J33" s="34"/>
      <c r="K33" s="34"/>
      <c r="L33" s="34"/>
      <c r="M33" s="34"/>
      <c r="N33" s="34"/>
      <c r="O33" s="34"/>
      <c r="P33" s="34"/>
      <c r="Q33" s="34"/>
      <c r="R33" s="34"/>
      <c r="S33" s="34"/>
      <c r="T33" s="34"/>
      <c r="U33" s="34"/>
    </row>
    <row r="34" spans="2:21" x14ac:dyDescent="0.45">
      <c r="B34" s="36" t="s">
        <v>302</v>
      </c>
      <c r="C34" s="34"/>
      <c r="D34" s="34"/>
      <c r="E34" s="34"/>
      <c r="F34" s="34"/>
      <c r="G34" s="34"/>
      <c r="H34" s="34"/>
      <c r="I34" s="34"/>
      <c r="J34" s="34"/>
      <c r="K34" s="34"/>
      <c r="L34" s="34"/>
      <c r="M34" s="34"/>
      <c r="N34" s="34"/>
      <c r="O34" s="34"/>
      <c r="P34" s="34"/>
      <c r="Q34" s="34"/>
      <c r="R34" s="34"/>
      <c r="S34" s="34"/>
      <c r="T34" s="34"/>
      <c r="U34" s="34"/>
    </row>
    <row r="35" spans="2:21" ht="15" customHeight="1" x14ac:dyDescent="0.45">
      <c r="B35" s="83" t="s">
        <v>307</v>
      </c>
      <c r="C35" s="34"/>
      <c r="D35" s="34"/>
      <c r="E35" s="34"/>
      <c r="F35" s="34"/>
      <c r="G35" s="34"/>
      <c r="H35" s="34"/>
      <c r="I35" s="34"/>
      <c r="J35" s="34"/>
      <c r="K35" s="34"/>
      <c r="L35" s="34"/>
      <c r="M35" s="34"/>
      <c r="N35" s="34"/>
      <c r="O35" s="34"/>
      <c r="P35" s="34"/>
      <c r="Q35" s="34"/>
      <c r="R35" s="34"/>
      <c r="S35" s="34"/>
      <c r="T35" s="34"/>
      <c r="U35" s="34"/>
    </row>
    <row r="36" spans="2:21" x14ac:dyDescent="0.45">
      <c r="B36" s="39" t="s">
        <v>696</v>
      </c>
      <c r="C36" s="34"/>
      <c r="D36" s="34"/>
      <c r="E36" s="34"/>
      <c r="F36" s="34"/>
      <c r="G36" s="34"/>
      <c r="H36" s="34"/>
      <c r="I36" s="34"/>
      <c r="J36" s="34"/>
      <c r="K36" s="34"/>
      <c r="L36" s="34"/>
      <c r="M36" s="34"/>
      <c r="N36" s="34"/>
      <c r="O36" s="34"/>
      <c r="P36" s="34"/>
      <c r="Q36" s="34"/>
      <c r="R36" s="34"/>
      <c r="S36" s="34"/>
      <c r="T36" s="34"/>
      <c r="U36" s="34"/>
    </row>
    <row r="37" spans="2:21" x14ac:dyDescent="0.45">
      <c r="B37" s="39" t="s">
        <v>303</v>
      </c>
      <c r="C37" s="34"/>
      <c r="D37" s="34"/>
      <c r="E37" s="34"/>
      <c r="F37" s="34"/>
      <c r="G37" s="34"/>
      <c r="H37" s="34"/>
      <c r="I37" s="34"/>
      <c r="J37" s="34"/>
      <c r="K37" s="34"/>
      <c r="L37" s="34"/>
      <c r="M37" s="34"/>
      <c r="N37" s="34"/>
      <c r="O37" s="34"/>
      <c r="P37" s="34"/>
      <c r="Q37" s="34"/>
      <c r="R37" s="34"/>
      <c r="S37" s="34"/>
      <c r="T37" s="34"/>
      <c r="U37" s="34"/>
    </row>
    <row r="38" spans="2:21" x14ac:dyDescent="0.45">
      <c r="B38" s="36"/>
      <c r="C38" s="34"/>
      <c r="D38" s="34"/>
      <c r="E38" s="34"/>
      <c r="F38" s="34"/>
      <c r="G38" s="34"/>
      <c r="H38" s="34"/>
      <c r="I38" s="34"/>
      <c r="J38" s="34"/>
      <c r="K38" s="34"/>
      <c r="L38" s="34"/>
      <c r="M38" s="34"/>
      <c r="N38" s="34"/>
      <c r="O38" s="34"/>
      <c r="P38" s="34"/>
      <c r="Q38" s="34"/>
      <c r="R38" s="34"/>
      <c r="S38" s="34"/>
      <c r="T38" s="34"/>
      <c r="U38" s="34"/>
    </row>
    <row r="39" spans="2:21" ht="42.75" x14ac:dyDescent="0.45">
      <c r="B39" s="81" t="s">
        <v>698</v>
      </c>
      <c r="C39" s="34"/>
      <c r="D39" s="34"/>
      <c r="E39" s="34"/>
      <c r="F39" s="34"/>
      <c r="G39" s="34"/>
      <c r="H39" s="34"/>
      <c r="I39" s="34"/>
      <c r="J39" s="34"/>
      <c r="K39" s="34"/>
      <c r="L39" s="34"/>
      <c r="M39" s="34"/>
      <c r="N39" s="34"/>
      <c r="O39" s="34"/>
      <c r="P39" s="34"/>
      <c r="Q39" s="34"/>
      <c r="R39" s="34"/>
      <c r="S39" s="34"/>
      <c r="T39" s="34"/>
      <c r="U39" s="34"/>
    </row>
    <row r="40" spans="2:21" x14ac:dyDescent="0.45">
      <c r="B40" s="82"/>
      <c r="C40" s="34"/>
      <c r="D40" s="34"/>
      <c r="E40" s="34"/>
      <c r="F40" s="34"/>
      <c r="G40" s="34"/>
      <c r="H40" s="34"/>
      <c r="I40" s="34"/>
      <c r="J40" s="34"/>
      <c r="K40" s="34"/>
      <c r="L40" s="34"/>
      <c r="M40" s="34"/>
      <c r="N40" s="34"/>
      <c r="O40" s="34"/>
      <c r="P40" s="34"/>
      <c r="Q40" s="34"/>
      <c r="R40" s="34"/>
      <c r="S40" s="34"/>
      <c r="T40" s="34"/>
      <c r="U40" s="34"/>
    </row>
    <row r="41" spans="2:21" x14ac:dyDescent="0.45">
      <c r="B41" s="39"/>
      <c r="C41" s="34"/>
      <c r="D41" s="34"/>
      <c r="E41" s="34"/>
      <c r="F41" s="34"/>
      <c r="G41" s="34"/>
      <c r="H41" s="34"/>
      <c r="I41" s="34"/>
      <c r="J41" s="34"/>
      <c r="K41" s="34"/>
      <c r="L41" s="34"/>
      <c r="M41" s="34"/>
      <c r="N41" s="34"/>
      <c r="O41" s="34"/>
      <c r="P41" s="34"/>
      <c r="Q41" s="34"/>
      <c r="R41" s="34"/>
      <c r="S41" s="34"/>
      <c r="T41" s="34"/>
      <c r="U41" s="34"/>
    </row>
    <row r="42" spans="2:21" x14ac:dyDescent="0.45">
      <c r="B42" s="39"/>
      <c r="C42" s="34"/>
      <c r="D42" s="34"/>
      <c r="E42" s="34"/>
      <c r="F42" s="34"/>
      <c r="G42" s="34"/>
      <c r="H42" s="34"/>
      <c r="I42" s="34"/>
      <c r="J42" s="34"/>
      <c r="K42" s="34"/>
      <c r="L42" s="34"/>
      <c r="M42" s="34"/>
      <c r="N42" s="34"/>
      <c r="O42" s="34"/>
      <c r="P42" s="34"/>
      <c r="Q42" s="34"/>
      <c r="R42" s="34"/>
      <c r="S42" s="34"/>
      <c r="T42" s="34"/>
      <c r="U42" s="34"/>
    </row>
    <row r="43" spans="2:21" x14ac:dyDescent="0.45">
      <c r="B43" s="39"/>
      <c r="C43" s="34"/>
      <c r="D43" s="34"/>
      <c r="E43" s="34"/>
      <c r="F43" s="34"/>
      <c r="G43" s="34"/>
      <c r="H43" s="34"/>
      <c r="I43" s="34"/>
      <c r="J43" s="34"/>
      <c r="K43" s="34"/>
      <c r="L43" s="34"/>
      <c r="M43" s="34"/>
      <c r="N43" s="34"/>
      <c r="O43" s="34"/>
      <c r="P43" s="34"/>
      <c r="Q43" s="34"/>
      <c r="R43" s="34"/>
      <c r="S43" s="34"/>
      <c r="T43" s="34"/>
      <c r="U43" s="34"/>
    </row>
    <row r="44" spans="2:21" x14ac:dyDescent="0.45">
      <c r="B44" s="39"/>
      <c r="C44" s="34"/>
      <c r="D44" s="34"/>
      <c r="E44" s="34"/>
      <c r="F44" s="34"/>
      <c r="G44" s="34"/>
      <c r="H44" s="34"/>
      <c r="I44" s="34"/>
      <c r="J44" s="34"/>
      <c r="K44" s="34"/>
      <c r="L44" s="34"/>
      <c r="M44" s="34"/>
      <c r="N44" s="34"/>
      <c r="O44" s="34"/>
      <c r="P44" s="34"/>
      <c r="Q44" s="34"/>
      <c r="R44" s="34"/>
      <c r="S44" s="34"/>
      <c r="T44" s="34"/>
      <c r="U44" s="34"/>
    </row>
    <row r="45" spans="2:21" x14ac:dyDescent="0.45">
      <c r="B45" s="39"/>
      <c r="C45" s="34"/>
      <c r="D45" s="34"/>
      <c r="E45" s="34"/>
      <c r="F45" s="34"/>
      <c r="G45" s="34"/>
      <c r="H45" s="34"/>
      <c r="I45" s="34"/>
      <c r="J45" s="34"/>
      <c r="K45" s="34"/>
      <c r="L45" s="34"/>
      <c r="M45" s="34"/>
      <c r="N45" s="34"/>
      <c r="O45" s="34"/>
      <c r="P45" s="34"/>
      <c r="Q45" s="34"/>
      <c r="R45" s="34"/>
      <c r="S45" s="34"/>
      <c r="T45" s="34"/>
      <c r="U45" s="34"/>
    </row>
    <row r="46" spans="2:21" x14ac:dyDescent="0.45">
      <c r="B46" s="39"/>
      <c r="C46" s="34"/>
      <c r="D46" s="34"/>
      <c r="E46" s="34"/>
      <c r="F46" s="34"/>
      <c r="G46" s="34"/>
      <c r="H46" s="34"/>
      <c r="I46" s="34"/>
      <c r="J46" s="34"/>
      <c r="K46" s="34"/>
      <c r="L46" s="34"/>
      <c r="M46" s="34"/>
      <c r="N46" s="34"/>
      <c r="O46" s="34"/>
      <c r="P46" s="34"/>
      <c r="Q46" s="34"/>
      <c r="R46" s="34"/>
      <c r="S46" s="34"/>
      <c r="T46" s="34"/>
      <c r="U46" s="34"/>
    </row>
    <row r="47" spans="2:21" x14ac:dyDescent="0.45">
      <c r="B47" s="39"/>
      <c r="C47" s="34"/>
      <c r="D47" s="34"/>
      <c r="E47" s="34"/>
      <c r="F47" s="34"/>
      <c r="G47" s="34"/>
      <c r="H47" s="34"/>
      <c r="I47" s="34"/>
      <c r="J47" s="34"/>
      <c r="K47" s="34"/>
      <c r="L47" s="34"/>
      <c r="M47" s="34"/>
      <c r="N47" s="34"/>
      <c r="O47" s="34"/>
      <c r="P47" s="34"/>
      <c r="Q47" s="34"/>
      <c r="R47" s="34"/>
      <c r="S47" s="34"/>
      <c r="T47" s="34"/>
      <c r="U47" s="34"/>
    </row>
    <row r="48" spans="2:21" x14ac:dyDescent="0.45">
      <c r="B48" s="39"/>
      <c r="C48" s="34"/>
      <c r="D48" s="34"/>
      <c r="E48" s="34"/>
      <c r="F48" s="34"/>
      <c r="G48" s="34"/>
      <c r="H48" s="34"/>
      <c r="I48" s="34"/>
      <c r="J48" s="34"/>
      <c r="K48" s="34"/>
      <c r="L48" s="34"/>
      <c r="M48" s="34"/>
      <c r="N48" s="34"/>
      <c r="O48" s="34"/>
      <c r="P48" s="34"/>
      <c r="Q48" s="34"/>
      <c r="R48" s="34"/>
      <c r="S48" s="34"/>
      <c r="T48" s="34"/>
      <c r="U48" s="34"/>
    </row>
    <row r="49" spans="2:21" x14ac:dyDescent="0.45">
      <c r="B49" s="39"/>
      <c r="C49" s="34"/>
      <c r="D49" s="34"/>
      <c r="E49" s="34"/>
      <c r="F49" s="34"/>
      <c r="G49" s="34"/>
      <c r="H49" s="34"/>
      <c r="I49" s="34"/>
      <c r="J49" s="34"/>
      <c r="K49" s="34"/>
      <c r="L49" s="34"/>
      <c r="M49" s="34"/>
      <c r="N49" s="34"/>
      <c r="O49" s="34"/>
      <c r="P49" s="34"/>
      <c r="Q49" s="34"/>
      <c r="R49" s="34"/>
      <c r="S49" s="34"/>
      <c r="T49" s="34"/>
      <c r="U49" s="34"/>
    </row>
    <row r="50" spans="2:21" x14ac:dyDescent="0.45">
      <c r="B50" s="39"/>
      <c r="C50" s="34"/>
      <c r="D50" s="34"/>
      <c r="E50" s="34"/>
      <c r="F50" s="34"/>
      <c r="G50" s="34"/>
      <c r="H50" s="34"/>
      <c r="I50" s="34"/>
      <c r="J50" s="34"/>
      <c r="K50" s="34"/>
      <c r="L50" s="34"/>
      <c r="M50" s="34"/>
      <c r="N50" s="34"/>
      <c r="O50" s="34"/>
      <c r="P50" s="34"/>
      <c r="Q50" s="34"/>
      <c r="R50" s="34"/>
      <c r="S50" s="34"/>
      <c r="T50" s="34"/>
      <c r="U50" s="34"/>
    </row>
    <row r="51" spans="2:21" x14ac:dyDescent="0.45">
      <c r="B51" s="39"/>
      <c r="C51" s="34"/>
      <c r="D51" s="34"/>
      <c r="E51" s="34"/>
      <c r="F51" s="34"/>
      <c r="G51" s="34"/>
      <c r="H51" s="34"/>
      <c r="I51" s="34"/>
      <c r="J51" s="34"/>
      <c r="K51" s="34"/>
      <c r="L51" s="34"/>
      <c r="M51" s="34"/>
      <c r="N51" s="34"/>
      <c r="O51" s="34"/>
      <c r="P51" s="34"/>
      <c r="Q51" s="34"/>
      <c r="R51" s="34"/>
      <c r="S51" s="34"/>
      <c r="T51" s="34"/>
      <c r="U51" s="34"/>
    </row>
    <row r="52" spans="2:21" x14ac:dyDescent="0.45">
      <c r="B52" s="39"/>
      <c r="C52" s="34"/>
      <c r="D52" s="34"/>
      <c r="E52" s="34"/>
      <c r="F52" s="34"/>
      <c r="G52" s="34"/>
      <c r="H52" s="34"/>
      <c r="I52" s="34"/>
      <c r="J52" s="34"/>
      <c r="K52" s="34"/>
      <c r="L52" s="34"/>
      <c r="M52" s="34"/>
      <c r="N52" s="34"/>
      <c r="O52" s="34"/>
      <c r="P52" s="34"/>
      <c r="Q52" s="34"/>
      <c r="R52" s="34"/>
      <c r="S52" s="34"/>
      <c r="T52" s="34"/>
      <c r="U52" s="34"/>
    </row>
    <row r="53" spans="2:21" x14ac:dyDescent="0.45">
      <c r="B53" s="39"/>
      <c r="C53" s="34"/>
      <c r="D53" s="34"/>
      <c r="E53" s="34"/>
      <c r="F53" s="34"/>
      <c r="G53" s="34"/>
      <c r="H53" s="34"/>
      <c r="I53" s="34"/>
      <c r="J53" s="34"/>
      <c r="K53" s="34"/>
      <c r="L53" s="34"/>
      <c r="M53" s="34"/>
      <c r="N53" s="34"/>
      <c r="O53" s="34"/>
      <c r="P53" s="34"/>
      <c r="Q53" s="34"/>
      <c r="R53" s="34"/>
      <c r="S53" s="34"/>
      <c r="T53" s="34"/>
      <c r="U53" s="34"/>
    </row>
    <row r="54" spans="2:21" x14ac:dyDescent="0.45">
      <c r="B54" s="39"/>
      <c r="C54" s="34"/>
      <c r="D54" s="34"/>
      <c r="E54" s="34"/>
      <c r="F54" s="34"/>
      <c r="G54" s="34"/>
      <c r="H54" s="34"/>
      <c r="I54" s="34"/>
      <c r="J54" s="34"/>
      <c r="K54" s="34"/>
      <c r="L54" s="34"/>
      <c r="M54" s="34"/>
      <c r="N54" s="34"/>
      <c r="O54" s="34"/>
      <c r="P54" s="34"/>
      <c r="Q54" s="34"/>
      <c r="R54" s="34"/>
      <c r="S54" s="34"/>
      <c r="T54" s="34"/>
      <c r="U54" s="34"/>
    </row>
    <row r="55" spans="2:21" x14ac:dyDescent="0.45">
      <c r="B55" s="39"/>
      <c r="C55" s="34"/>
      <c r="D55" s="34"/>
      <c r="E55" s="34"/>
      <c r="F55" s="34"/>
      <c r="G55" s="34"/>
      <c r="H55" s="34"/>
      <c r="I55" s="34"/>
      <c r="J55" s="34"/>
      <c r="K55" s="34"/>
      <c r="L55" s="34"/>
      <c r="M55" s="34"/>
      <c r="N55" s="34"/>
      <c r="O55" s="34"/>
      <c r="P55" s="34"/>
      <c r="Q55" s="34"/>
      <c r="R55" s="34"/>
      <c r="S55" s="34"/>
      <c r="T55" s="34"/>
      <c r="U55" s="34"/>
    </row>
    <row r="56" spans="2:21" x14ac:dyDescent="0.45">
      <c r="B56" s="39"/>
      <c r="C56" s="34"/>
      <c r="D56" s="34"/>
      <c r="E56" s="34"/>
      <c r="F56" s="34"/>
      <c r="G56" s="34"/>
      <c r="H56" s="34"/>
      <c r="I56" s="34"/>
      <c r="J56" s="34"/>
      <c r="K56" s="34"/>
      <c r="L56" s="34"/>
      <c r="M56" s="34"/>
      <c r="N56" s="34"/>
      <c r="O56" s="34"/>
      <c r="P56" s="34"/>
      <c r="Q56" s="34"/>
      <c r="R56" s="34"/>
      <c r="S56" s="34"/>
      <c r="T56" s="34"/>
      <c r="U56" s="34"/>
    </row>
    <row r="57" spans="2:21" x14ac:dyDescent="0.45">
      <c r="B57" s="39"/>
      <c r="C57" s="34"/>
      <c r="D57" s="34"/>
      <c r="E57" s="34"/>
      <c r="F57" s="34"/>
      <c r="G57" s="34"/>
      <c r="H57" s="34"/>
      <c r="I57" s="34"/>
      <c r="J57" s="34"/>
      <c r="K57" s="34"/>
      <c r="L57" s="34"/>
      <c r="M57" s="34"/>
      <c r="N57" s="34"/>
      <c r="O57" s="34"/>
      <c r="P57" s="34"/>
      <c r="Q57" s="34"/>
      <c r="R57" s="34"/>
      <c r="S57" s="34"/>
      <c r="T57" s="34"/>
      <c r="U57" s="34"/>
    </row>
    <row r="58" spans="2:21" x14ac:dyDescent="0.45">
      <c r="B58" s="39"/>
      <c r="C58" s="34"/>
      <c r="D58" s="34"/>
      <c r="E58" s="34"/>
      <c r="F58" s="34"/>
      <c r="G58" s="34"/>
      <c r="H58" s="34"/>
      <c r="I58" s="34"/>
      <c r="J58" s="34"/>
      <c r="K58" s="34"/>
      <c r="L58" s="34"/>
      <c r="M58" s="34"/>
      <c r="N58" s="34"/>
      <c r="O58" s="34"/>
      <c r="P58" s="34"/>
      <c r="Q58" s="34"/>
      <c r="R58" s="34"/>
      <c r="S58" s="34"/>
      <c r="T58" s="34"/>
      <c r="U58" s="34"/>
    </row>
    <row r="59" spans="2:21" x14ac:dyDescent="0.45">
      <c r="B59" s="39"/>
      <c r="C59" s="34"/>
      <c r="D59" s="34"/>
      <c r="E59" s="34"/>
      <c r="F59" s="34"/>
      <c r="G59" s="34"/>
      <c r="H59" s="34"/>
      <c r="I59" s="34"/>
      <c r="J59" s="34"/>
      <c r="K59" s="34"/>
      <c r="L59" s="34"/>
      <c r="M59" s="34"/>
      <c r="N59" s="34"/>
      <c r="O59" s="34"/>
      <c r="P59" s="34"/>
      <c r="Q59" s="34"/>
      <c r="R59" s="34"/>
      <c r="S59" s="34"/>
      <c r="T59" s="34"/>
      <c r="U59" s="34"/>
    </row>
    <row r="60" spans="2:21" x14ac:dyDescent="0.45">
      <c r="B60" s="39"/>
      <c r="C60" s="34"/>
      <c r="D60" s="34"/>
      <c r="E60" s="34"/>
      <c r="F60" s="34"/>
      <c r="G60" s="34"/>
      <c r="H60" s="34"/>
      <c r="I60" s="34"/>
      <c r="J60" s="34"/>
      <c r="K60" s="34"/>
      <c r="L60" s="34"/>
      <c r="M60" s="34"/>
      <c r="N60" s="34"/>
      <c r="O60" s="34"/>
      <c r="P60" s="34"/>
      <c r="Q60" s="34"/>
      <c r="R60" s="34"/>
      <c r="S60" s="34"/>
      <c r="T60" s="34"/>
      <c r="U60" s="34"/>
    </row>
    <row r="61" spans="2:21" x14ac:dyDescent="0.45">
      <c r="B61" s="39"/>
      <c r="C61" s="34"/>
      <c r="D61" s="34"/>
      <c r="E61" s="34"/>
      <c r="F61" s="34"/>
      <c r="G61" s="34"/>
      <c r="H61" s="34"/>
      <c r="I61" s="34"/>
      <c r="J61" s="34"/>
      <c r="K61" s="34"/>
      <c r="L61" s="34"/>
      <c r="M61" s="34"/>
      <c r="N61" s="34"/>
      <c r="O61" s="34"/>
      <c r="P61" s="34"/>
      <c r="Q61" s="34"/>
      <c r="R61" s="34"/>
      <c r="S61" s="34"/>
      <c r="T61" s="34"/>
      <c r="U61" s="34"/>
    </row>
    <row r="62" spans="2:21" x14ac:dyDescent="0.45">
      <c r="B62" s="39"/>
      <c r="C62" s="34"/>
      <c r="D62" s="34"/>
      <c r="E62" s="34"/>
      <c r="F62" s="34"/>
      <c r="G62" s="34"/>
      <c r="H62" s="34"/>
      <c r="I62" s="34"/>
      <c r="J62" s="34"/>
      <c r="K62" s="34"/>
      <c r="L62" s="34"/>
      <c r="M62" s="34"/>
      <c r="N62" s="34"/>
      <c r="O62" s="34"/>
      <c r="P62" s="34"/>
      <c r="Q62" s="34"/>
      <c r="R62" s="34"/>
      <c r="S62" s="34"/>
      <c r="T62" s="34"/>
      <c r="U62" s="34"/>
    </row>
    <row r="63" spans="2:21" x14ac:dyDescent="0.45">
      <c r="B63" s="39"/>
      <c r="C63" s="34"/>
      <c r="D63" s="34"/>
      <c r="E63" s="34"/>
      <c r="F63" s="34"/>
      <c r="G63" s="34"/>
      <c r="H63" s="34"/>
      <c r="I63" s="34"/>
      <c r="J63" s="34"/>
      <c r="K63" s="34"/>
      <c r="L63" s="34"/>
      <c r="M63" s="34"/>
      <c r="N63" s="34"/>
      <c r="O63" s="34"/>
      <c r="P63" s="34"/>
      <c r="Q63" s="34"/>
      <c r="R63" s="34"/>
      <c r="S63" s="34"/>
      <c r="T63" s="34"/>
      <c r="U63" s="34"/>
    </row>
    <row r="64" spans="2:21" x14ac:dyDescent="0.45">
      <c r="B64" s="39"/>
      <c r="C64" s="34"/>
      <c r="D64" s="34"/>
      <c r="E64" s="34"/>
      <c r="F64" s="34"/>
      <c r="G64" s="34"/>
      <c r="H64" s="34"/>
      <c r="I64" s="34"/>
      <c r="J64" s="34"/>
      <c r="K64" s="34"/>
      <c r="L64" s="34"/>
      <c r="M64" s="34"/>
      <c r="N64" s="34"/>
      <c r="O64" s="34"/>
      <c r="P64" s="34"/>
      <c r="Q64" s="34"/>
      <c r="R64" s="34"/>
      <c r="S64" s="34"/>
      <c r="T64" s="34"/>
      <c r="U64" s="34"/>
    </row>
    <row r="65" spans="2:21" x14ac:dyDescent="0.45">
      <c r="B65" s="39"/>
      <c r="C65" s="34"/>
      <c r="D65" s="34"/>
      <c r="E65" s="34"/>
      <c r="F65" s="34"/>
      <c r="G65" s="34"/>
      <c r="H65" s="34"/>
      <c r="I65" s="34"/>
      <c r="J65" s="34"/>
      <c r="K65" s="34"/>
      <c r="L65" s="34"/>
      <c r="M65" s="34"/>
      <c r="N65" s="34"/>
      <c r="O65" s="34"/>
      <c r="P65" s="34"/>
      <c r="Q65" s="34"/>
      <c r="R65" s="34"/>
      <c r="S65" s="34"/>
      <c r="T65" s="34"/>
      <c r="U65" s="34"/>
    </row>
    <row r="66" spans="2:21" x14ac:dyDescent="0.45">
      <c r="B66" s="39"/>
      <c r="C66" s="34"/>
      <c r="D66" s="34"/>
      <c r="E66" s="34"/>
      <c r="F66" s="34"/>
      <c r="G66" s="34"/>
      <c r="H66" s="34"/>
      <c r="I66" s="34"/>
      <c r="J66" s="34"/>
      <c r="K66" s="34"/>
      <c r="L66" s="34"/>
      <c r="M66" s="34"/>
      <c r="N66" s="34"/>
      <c r="O66" s="34"/>
      <c r="P66" s="34"/>
      <c r="Q66" s="34"/>
      <c r="R66" s="34"/>
      <c r="S66" s="34"/>
      <c r="T66" s="34"/>
      <c r="U66" s="34"/>
    </row>
    <row r="67" spans="2:21" x14ac:dyDescent="0.45">
      <c r="B67" s="39"/>
      <c r="C67" s="34"/>
      <c r="D67" s="34"/>
      <c r="E67" s="34"/>
      <c r="F67" s="34"/>
      <c r="G67" s="34"/>
      <c r="H67" s="34"/>
      <c r="I67" s="34"/>
      <c r="J67" s="34"/>
      <c r="K67" s="34"/>
      <c r="L67" s="34"/>
      <c r="M67" s="34"/>
      <c r="N67" s="34"/>
      <c r="O67" s="34"/>
      <c r="P67" s="34"/>
      <c r="Q67" s="34"/>
      <c r="R67" s="34"/>
      <c r="S67" s="34"/>
      <c r="T67" s="34"/>
      <c r="U67" s="34"/>
    </row>
    <row r="68" spans="2:21" x14ac:dyDescent="0.45">
      <c r="B68" s="39"/>
      <c r="C68" s="34"/>
      <c r="D68" s="34"/>
      <c r="E68" s="34"/>
      <c r="F68" s="34"/>
      <c r="G68" s="34"/>
      <c r="H68" s="34"/>
      <c r="I68" s="34"/>
      <c r="J68" s="34"/>
      <c r="K68" s="34"/>
      <c r="L68" s="34"/>
      <c r="M68" s="34"/>
      <c r="N68" s="34"/>
      <c r="O68" s="34"/>
      <c r="P68" s="34"/>
      <c r="Q68" s="34"/>
      <c r="R68" s="34"/>
      <c r="S68" s="34"/>
      <c r="T68" s="34"/>
      <c r="U68" s="34"/>
    </row>
    <row r="69" spans="2:21" x14ac:dyDescent="0.45">
      <c r="B69" s="39"/>
      <c r="C69" s="34"/>
      <c r="D69" s="34"/>
      <c r="E69" s="34"/>
      <c r="F69" s="34"/>
      <c r="G69" s="34"/>
      <c r="H69" s="34"/>
      <c r="I69" s="34"/>
      <c r="J69" s="34"/>
      <c r="K69" s="34"/>
      <c r="L69" s="34"/>
      <c r="M69" s="34"/>
      <c r="N69" s="34"/>
      <c r="O69" s="34"/>
      <c r="P69" s="34"/>
      <c r="Q69" s="34"/>
      <c r="R69" s="34"/>
      <c r="S69" s="34"/>
      <c r="T69" s="34"/>
      <c r="U69" s="34"/>
    </row>
    <row r="70" spans="2:21" x14ac:dyDescent="0.45">
      <c r="B70" s="39"/>
      <c r="C70" s="34"/>
      <c r="D70" s="34"/>
      <c r="E70" s="34"/>
      <c r="F70" s="34"/>
      <c r="G70" s="34"/>
      <c r="H70" s="34"/>
      <c r="I70" s="34"/>
      <c r="J70" s="34"/>
      <c r="K70" s="34"/>
      <c r="L70" s="34"/>
      <c r="M70" s="34"/>
      <c r="N70" s="34"/>
      <c r="O70" s="34"/>
      <c r="P70" s="34"/>
      <c r="Q70" s="34"/>
      <c r="R70" s="34"/>
      <c r="S70" s="34"/>
      <c r="T70" s="34"/>
      <c r="U70" s="34"/>
    </row>
    <row r="71" spans="2:21" x14ac:dyDescent="0.45">
      <c r="B71" s="39"/>
      <c r="C71" s="34"/>
      <c r="D71" s="34"/>
      <c r="E71" s="34"/>
      <c r="F71" s="34"/>
      <c r="G71" s="34"/>
      <c r="H71" s="34"/>
      <c r="I71" s="34"/>
      <c r="J71" s="34"/>
      <c r="K71" s="34"/>
      <c r="L71" s="34"/>
      <c r="M71" s="34"/>
      <c r="N71" s="34"/>
      <c r="O71" s="34"/>
      <c r="P71" s="34"/>
      <c r="Q71" s="34"/>
      <c r="R71" s="34"/>
      <c r="S71" s="34"/>
      <c r="T71" s="34"/>
      <c r="U71" s="34"/>
    </row>
    <row r="72" spans="2:21" x14ac:dyDescent="0.45">
      <c r="B72" s="39"/>
      <c r="C72" s="34"/>
      <c r="D72" s="34"/>
      <c r="E72" s="34"/>
      <c r="F72" s="34"/>
      <c r="G72" s="34"/>
      <c r="H72" s="34"/>
      <c r="I72" s="34"/>
      <c r="J72" s="34"/>
      <c r="K72" s="34"/>
      <c r="L72" s="34"/>
      <c r="M72" s="34"/>
      <c r="N72" s="34"/>
      <c r="O72" s="34"/>
      <c r="P72" s="34"/>
      <c r="Q72" s="34"/>
      <c r="R72" s="34"/>
      <c r="S72" s="34"/>
      <c r="T72" s="34"/>
      <c r="U72" s="34"/>
    </row>
    <row r="73" spans="2:21" x14ac:dyDescent="0.45">
      <c r="B73" s="39"/>
      <c r="C73" s="34"/>
      <c r="D73" s="34"/>
      <c r="E73" s="34"/>
      <c r="F73" s="34"/>
      <c r="G73" s="34"/>
      <c r="H73" s="34"/>
      <c r="I73" s="34"/>
      <c r="J73" s="34"/>
      <c r="K73" s="34"/>
      <c r="L73" s="34"/>
      <c r="M73" s="34"/>
      <c r="N73" s="34"/>
      <c r="O73" s="34"/>
      <c r="P73" s="34"/>
      <c r="Q73" s="34"/>
      <c r="R73" s="34"/>
      <c r="S73" s="34"/>
      <c r="T73" s="34"/>
      <c r="U73" s="34"/>
    </row>
    <row r="74" spans="2:21" x14ac:dyDescent="0.45">
      <c r="B74" s="39"/>
      <c r="C74" s="34"/>
      <c r="D74" s="34"/>
      <c r="E74" s="34"/>
      <c r="F74" s="34"/>
      <c r="G74" s="34"/>
      <c r="H74" s="34"/>
      <c r="I74" s="34"/>
      <c r="J74" s="34"/>
      <c r="K74" s="34"/>
      <c r="L74" s="34"/>
      <c r="M74" s="34"/>
      <c r="N74" s="34"/>
      <c r="O74" s="34"/>
      <c r="P74" s="34"/>
      <c r="Q74" s="34"/>
      <c r="R74" s="34"/>
      <c r="S74" s="34"/>
      <c r="T74" s="34"/>
      <c r="U74" s="34"/>
    </row>
    <row r="75" spans="2:21" x14ac:dyDescent="0.45">
      <c r="B75" s="39"/>
      <c r="C75" s="34"/>
      <c r="D75" s="34"/>
      <c r="E75" s="34"/>
      <c r="F75" s="34"/>
      <c r="G75" s="34"/>
      <c r="H75" s="34"/>
      <c r="I75" s="34"/>
      <c r="J75" s="34"/>
      <c r="K75" s="34"/>
      <c r="L75" s="34"/>
      <c r="M75" s="34"/>
      <c r="N75" s="34"/>
      <c r="O75" s="34"/>
      <c r="P75" s="34"/>
      <c r="Q75" s="34"/>
      <c r="R75" s="34"/>
      <c r="S75" s="34"/>
      <c r="T75" s="34"/>
      <c r="U75" s="34"/>
    </row>
    <row r="76" spans="2:21" x14ac:dyDescent="0.45">
      <c r="B76" s="39"/>
      <c r="C76" s="34"/>
      <c r="D76" s="34"/>
      <c r="E76" s="34"/>
      <c r="F76" s="34"/>
      <c r="G76" s="34"/>
      <c r="H76" s="34"/>
      <c r="I76" s="34"/>
      <c r="J76" s="34"/>
      <c r="K76" s="34"/>
      <c r="L76" s="34"/>
      <c r="M76" s="34"/>
      <c r="N76" s="34"/>
      <c r="O76" s="34"/>
      <c r="P76" s="34"/>
      <c r="Q76" s="34"/>
      <c r="R76" s="34"/>
      <c r="S76" s="34"/>
      <c r="T76" s="34"/>
      <c r="U76" s="34"/>
    </row>
    <row r="77" spans="2:21" x14ac:dyDescent="0.45">
      <c r="B77" s="39"/>
      <c r="C77" s="34"/>
      <c r="D77" s="34"/>
      <c r="E77" s="34"/>
      <c r="F77" s="34"/>
      <c r="G77" s="34"/>
      <c r="H77" s="34"/>
      <c r="I77" s="34"/>
      <c r="J77" s="34"/>
      <c r="K77" s="34"/>
      <c r="L77" s="34"/>
      <c r="M77" s="34"/>
      <c r="N77" s="34"/>
      <c r="O77" s="34"/>
      <c r="P77" s="34"/>
      <c r="Q77" s="34"/>
      <c r="R77" s="34"/>
      <c r="S77" s="34"/>
      <c r="T77" s="34"/>
      <c r="U77" s="34"/>
    </row>
    <row r="78" spans="2:21" x14ac:dyDescent="0.45">
      <c r="B78" s="39"/>
      <c r="C78" s="34"/>
      <c r="D78" s="34"/>
      <c r="E78" s="34"/>
      <c r="F78" s="34"/>
      <c r="G78" s="34"/>
      <c r="H78" s="34"/>
      <c r="I78" s="34"/>
      <c r="J78" s="34"/>
      <c r="K78" s="34"/>
      <c r="L78" s="34"/>
      <c r="M78" s="34"/>
      <c r="N78" s="34"/>
      <c r="O78" s="34"/>
      <c r="P78" s="34"/>
      <c r="Q78" s="34"/>
      <c r="R78" s="34"/>
      <c r="S78" s="34"/>
      <c r="T78" s="34"/>
      <c r="U78" s="34"/>
    </row>
    <row r="79" spans="2:21" x14ac:dyDescent="0.45">
      <c r="B79" s="39"/>
      <c r="C79" s="34"/>
      <c r="D79" s="34"/>
      <c r="E79" s="34"/>
      <c r="F79" s="34"/>
      <c r="G79" s="34"/>
      <c r="H79" s="34"/>
      <c r="I79" s="34"/>
      <c r="J79" s="34"/>
      <c r="K79" s="34"/>
      <c r="L79" s="34"/>
      <c r="M79" s="34"/>
      <c r="N79" s="34"/>
      <c r="O79" s="34"/>
      <c r="P79" s="34"/>
      <c r="Q79" s="34"/>
      <c r="R79" s="34"/>
      <c r="S79" s="34"/>
      <c r="T79" s="34"/>
      <c r="U79" s="34"/>
    </row>
    <row r="80" spans="2:21" x14ac:dyDescent="0.45">
      <c r="B80" s="39"/>
      <c r="C80" s="34"/>
      <c r="D80" s="34"/>
      <c r="E80" s="34"/>
      <c r="F80" s="34"/>
      <c r="G80" s="34"/>
      <c r="H80" s="34"/>
      <c r="I80" s="34"/>
      <c r="J80" s="34"/>
      <c r="K80" s="34"/>
      <c r="L80" s="34"/>
      <c r="M80" s="34"/>
      <c r="N80" s="34"/>
      <c r="O80" s="34"/>
      <c r="P80" s="34"/>
      <c r="Q80" s="34"/>
      <c r="R80" s="34"/>
      <c r="S80" s="34"/>
      <c r="T80" s="34"/>
      <c r="U80" s="34"/>
    </row>
    <row r="81" spans="2:21" x14ac:dyDescent="0.45">
      <c r="B81" s="39"/>
      <c r="C81" s="34"/>
      <c r="D81" s="34"/>
      <c r="E81" s="34"/>
      <c r="F81" s="34"/>
      <c r="G81" s="34"/>
      <c r="H81" s="34"/>
      <c r="I81" s="34"/>
      <c r="J81" s="34"/>
      <c r="K81" s="34"/>
      <c r="L81" s="34"/>
      <c r="M81" s="34"/>
      <c r="N81" s="34"/>
      <c r="O81" s="34"/>
      <c r="P81" s="34"/>
      <c r="Q81" s="34"/>
      <c r="R81" s="34"/>
      <c r="S81" s="34"/>
      <c r="T81" s="34"/>
      <c r="U81" s="34"/>
    </row>
    <row r="82" spans="2:21" x14ac:dyDescent="0.45">
      <c r="B82" s="39"/>
      <c r="C82" s="34"/>
      <c r="D82" s="34"/>
      <c r="E82" s="34"/>
      <c r="F82" s="34"/>
      <c r="G82" s="34"/>
      <c r="H82" s="34"/>
      <c r="I82" s="34"/>
      <c r="J82" s="34"/>
      <c r="K82" s="34"/>
      <c r="L82" s="34"/>
      <c r="M82" s="34"/>
      <c r="N82" s="34"/>
      <c r="O82" s="34"/>
      <c r="P82" s="34"/>
      <c r="Q82" s="34"/>
      <c r="R82" s="34"/>
      <c r="S82" s="34"/>
      <c r="T82" s="34"/>
      <c r="U82" s="34"/>
    </row>
    <row r="83" spans="2:21" x14ac:dyDescent="0.45">
      <c r="B83" s="39"/>
      <c r="C83" s="34"/>
      <c r="D83" s="34"/>
      <c r="E83" s="34"/>
      <c r="F83" s="34"/>
      <c r="G83" s="34"/>
      <c r="H83" s="34"/>
      <c r="I83" s="34"/>
      <c r="J83" s="34"/>
      <c r="K83" s="34"/>
      <c r="L83" s="34"/>
      <c r="M83" s="34"/>
      <c r="N83" s="34"/>
      <c r="O83" s="34"/>
      <c r="P83" s="34"/>
      <c r="Q83" s="34"/>
      <c r="R83" s="34"/>
      <c r="S83" s="34"/>
      <c r="T83" s="34"/>
      <c r="U83" s="34"/>
    </row>
    <row r="84" spans="2:21" x14ac:dyDescent="0.45">
      <c r="B84" s="39"/>
      <c r="C84" s="34"/>
      <c r="D84" s="34"/>
      <c r="E84" s="34"/>
      <c r="F84" s="34"/>
      <c r="G84" s="34"/>
      <c r="H84" s="34"/>
      <c r="I84" s="34"/>
      <c r="J84" s="34"/>
      <c r="K84" s="34"/>
      <c r="L84" s="34"/>
      <c r="M84" s="34"/>
      <c r="N84" s="34"/>
      <c r="O84" s="34"/>
      <c r="P84" s="34"/>
      <c r="Q84" s="34"/>
      <c r="R84" s="34"/>
      <c r="S84" s="34"/>
      <c r="T84" s="34"/>
      <c r="U84" s="34"/>
    </row>
    <row r="85" spans="2:21" x14ac:dyDescent="0.45">
      <c r="B85" s="39"/>
      <c r="C85" s="34"/>
      <c r="D85" s="34"/>
      <c r="E85" s="34"/>
      <c r="F85" s="34"/>
      <c r="G85" s="34"/>
      <c r="H85" s="34"/>
      <c r="I85" s="34"/>
      <c r="J85" s="34"/>
      <c r="K85" s="34"/>
      <c r="L85" s="34"/>
      <c r="M85" s="34"/>
      <c r="N85" s="34"/>
      <c r="O85" s="34"/>
      <c r="P85" s="34"/>
      <c r="Q85" s="34"/>
      <c r="R85" s="34"/>
      <c r="S85" s="34"/>
      <c r="T85" s="34"/>
      <c r="U85" s="34"/>
    </row>
    <row r="86" spans="2:21" x14ac:dyDescent="0.45">
      <c r="B86" s="39"/>
      <c r="C86" s="34"/>
      <c r="D86" s="34"/>
      <c r="E86" s="34"/>
      <c r="F86" s="34"/>
      <c r="G86" s="34"/>
      <c r="H86" s="34"/>
      <c r="I86" s="34"/>
      <c r="J86" s="34"/>
      <c r="K86" s="34"/>
      <c r="L86" s="34"/>
      <c r="M86" s="34"/>
      <c r="N86" s="34"/>
      <c r="O86" s="34"/>
      <c r="P86" s="34"/>
      <c r="Q86" s="34"/>
      <c r="R86" s="34"/>
      <c r="S86" s="34"/>
      <c r="T86" s="34"/>
      <c r="U86" s="34"/>
    </row>
    <row r="87" spans="2:21" x14ac:dyDescent="0.45">
      <c r="B87" s="39"/>
      <c r="C87" s="34"/>
      <c r="D87" s="34"/>
      <c r="E87" s="34"/>
      <c r="F87" s="34"/>
      <c r="G87" s="34"/>
      <c r="H87" s="34"/>
      <c r="I87" s="34"/>
      <c r="J87" s="34"/>
      <c r="K87" s="34"/>
      <c r="L87" s="34"/>
      <c r="M87" s="34"/>
      <c r="N87" s="34"/>
      <c r="O87" s="34"/>
      <c r="P87" s="34"/>
      <c r="Q87" s="34"/>
      <c r="R87" s="34"/>
      <c r="S87" s="34"/>
      <c r="T87" s="34"/>
      <c r="U87" s="34"/>
    </row>
    <row r="88" spans="2:21" x14ac:dyDescent="0.45">
      <c r="B88" s="39"/>
      <c r="C88" s="34"/>
      <c r="D88" s="34"/>
      <c r="E88" s="34"/>
      <c r="F88" s="34"/>
      <c r="G88" s="34"/>
      <c r="H88" s="34"/>
      <c r="I88" s="34"/>
      <c r="J88" s="34"/>
      <c r="K88" s="34"/>
      <c r="L88" s="34"/>
      <c r="M88" s="34"/>
      <c r="N88" s="34"/>
      <c r="O88" s="34"/>
      <c r="P88" s="34"/>
      <c r="Q88" s="34"/>
      <c r="R88" s="34"/>
      <c r="S88" s="34"/>
      <c r="T88" s="34"/>
      <c r="U88" s="34"/>
    </row>
    <row r="89" spans="2:21" x14ac:dyDescent="0.45">
      <c r="B89" s="39"/>
      <c r="C89" s="34"/>
      <c r="D89" s="34"/>
      <c r="E89" s="34"/>
      <c r="F89" s="34"/>
      <c r="G89" s="34"/>
      <c r="H89" s="34"/>
      <c r="I89" s="34"/>
      <c r="J89" s="34"/>
      <c r="K89" s="34"/>
      <c r="L89" s="34"/>
      <c r="M89" s="34"/>
      <c r="N89" s="34"/>
      <c r="O89" s="34"/>
      <c r="P89" s="34"/>
      <c r="Q89" s="34"/>
      <c r="R89" s="34"/>
      <c r="S89" s="34"/>
      <c r="T89" s="34"/>
      <c r="U89" s="34"/>
    </row>
    <row r="90" spans="2:21" x14ac:dyDescent="0.45">
      <c r="B90" s="39"/>
      <c r="C90" s="34"/>
      <c r="D90" s="34"/>
      <c r="E90" s="34"/>
      <c r="F90" s="34"/>
      <c r="G90" s="34"/>
      <c r="H90" s="34"/>
      <c r="I90" s="34"/>
      <c r="J90" s="34"/>
      <c r="K90" s="34"/>
      <c r="L90" s="34"/>
      <c r="M90" s="34"/>
      <c r="N90" s="34"/>
      <c r="O90" s="34"/>
      <c r="P90" s="34"/>
      <c r="Q90" s="34"/>
      <c r="R90" s="34"/>
      <c r="S90" s="34"/>
      <c r="T90" s="34"/>
      <c r="U90" s="34"/>
    </row>
    <row r="91" spans="2:21" x14ac:dyDescent="0.45">
      <c r="B91" s="39"/>
      <c r="C91" s="34"/>
      <c r="D91" s="34"/>
      <c r="E91" s="34"/>
      <c r="F91" s="34"/>
      <c r="G91" s="34"/>
      <c r="H91" s="34"/>
      <c r="I91" s="34"/>
      <c r="J91" s="34"/>
      <c r="K91" s="34"/>
      <c r="L91" s="34"/>
      <c r="M91" s="34"/>
      <c r="N91" s="34"/>
      <c r="O91" s="34"/>
      <c r="P91" s="34"/>
      <c r="Q91" s="34"/>
      <c r="R91" s="34"/>
      <c r="S91" s="34"/>
      <c r="T91" s="34"/>
      <c r="U91" s="34"/>
    </row>
    <row r="92" spans="2:21" x14ac:dyDescent="0.45">
      <c r="B92" s="39"/>
      <c r="C92" s="34"/>
      <c r="D92" s="34"/>
      <c r="E92" s="34"/>
      <c r="F92" s="34"/>
      <c r="G92" s="34"/>
      <c r="H92" s="34"/>
      <c r="I92" s="34"/>
      <c r="J92" s="34"/>
      <c r="K92" s="34"/>
      <c r="L92" s="34"/>
      <c r="M92" s="34"/>
      <c r="N92" s="34"/>
      <c r="O92" s="34"/>
      <c r="P92" s="34"/>
      <c r="Q92" s="34"/>
      <c r="R92" s="34"/>
      <c r="S92" s="34"/>
      <c r="T92" s="34"/>
      <c r="U92" s="34"/>
    </row>
    <row r="93" spans="2:21" x14ac:dyDescent="0.45">
      <c r="B93" s="39"/>
      <c r="C93" s="34"/>
      <c r="D93" s="34"/>
      <c r="E93" s="34"/>
      <c r="F93" s="34"/>
      <c r="G93" s="34"/>
      <c r="H93" s="34"/>
      <c r="I93" s="34"/>
      <c r="J93" s="34"/>
      <c r="K93" s="34"/>
      <c r="L93" s="34"/>
      <c r="M93" s="34"/>
      <c r="N93" s="34"/>
      <c r="O93" s="34"/>
      <c r="P93" s="34"/>
      <c r="Q93" s="34"/>
      <c r="R93" s="34"/>
      <c r="S93" s="34"/>
      <c r="T93" s="34"/>
      <c r="U93" s="34"/>
    </row>
    <row r="94" spans="2:21" x14ac:dyDescent="0.45">
      <c r="B94" s="39"/>
      <c r="C94" s="34"/>
      <c r="D94" s="34"/>
      <c r="E94" s="34"/>
      <c r="F94" s="34"/>
      <c r="G94" s="34"/>
      <c r="H94" s="34"/>
      <c r="I94" s="34"/>
      <c r="J94" s="34"/>
      <c r="K94" s="34"/>
      <c r="L94" s="34"/>
      <c r="M94" s="34"/>
      <c r="N94" s="34"/>
      <c r="O94" s="34"/>
      <c r="P94" s="34"/>
      <c r="Q94" s="34"/>
      <c r="R94" s="34"/>
      <c r="S94" s="34"/>
      <c r="T94" s="34"/>
      <c r="U94" s="34"/>
    </row>
    <row r="95" spans="2:21" x14ac:dyDescent="0.45">
      <c r="B95" s="39"/>
      <c r="C95" s="34"/>
      <c r="D95" s="34"/>
      <c r="E95" s="34"/>
      <c r="F95" s="34"/>
      <c r="G95" s="34"/>
      <c r="H95" s="34"/>
      <c r="I95" s="34"/>
      <c r="J95" s="34"/>
      <c r="K95" s="34"/>
      <c r="L95" s="34"/>
      <c r="M95" s="34"/>
      <c r="N95" s="34"/>
      <c r="O95" s="34"/>
      <c r="P95" s="34"/>
      <c r="Q95" s="34"/>
      <c r="R95" s="34"/>
      <c r="S95" s="34"/>
      <c r="T95" s="34"/>
      <c r="U95" s="34"/>
    </row>
    <row r="96" spans="2:21" x14ac:dyDescent="0.45">
      <c r="B96" s="39"/>
      <c r="C96" s="34"/>
      <c r="D96" s="34"/>
      <c r="E96" s="34"/>
      <c r="F96" s="34"/>
      <c r="G96" s="34"/>
      <c r="H96" s="34"/>
      <c r="I96" s="34"/>
      <c r="J96" s="34"/>
      <c r="K96" s="34"/>
      <c r="L96" s="34"/>
      <c r="M96" s="34"/>
      <c r="N96" s="34"/>
      <c r="O96" s="34"/>
      <c r="P96" s="34"/>
      <c r="Q96" s="34"/>
      <c r="R96" s="34"/>
      <c r="S96" s="34"/>
      <c r="T96" s="34"/>
      <c r="U96" s="34"/>
    </row>
    <row r="97" spans="2:21" x14ac:dyDescent="0.45">
      <c r="B97" s="39"/>
      <c r="C97" s="34"/>
      <c r="D97" s="34"/>
      <c r="E97" s="34"/>
      <c r="F97" s="34"/>
      <c r="G97" s="34"/>
      <c r="H97" s="34"/>
      <c r="I97" s="34"/>
      <c r="J97" s="34"/>
      <c r="K97" s="34"/>
      <c r="L97" s="34"/>
      <c r="M97" s="34"/>
      <c r="N97" s="34"/>
      <c r="O97" s="34"/>
      <c r="P97" s="34"/>
      <c r="Q97" s="34"/>
      <c r="R97" s="34"/>
      <c r="S97" s="34"/>
      <c r="T97" s="34"/>
      <c r="U97" s="34"/>
    </row>
    <row r="98" spans="2:21" x14ac:dyDescent="0.45">
      <c r="B98" s="39"/>
      <c r="C98" s="34"/>
      <c r="D98" s="34"/>
      <c r="E98" s="34"/>
      <c r="F98" s="34"/>
      <c r="G98" s="34"/>
      <c r="H98" s="34"/>
      <c r="I98" s="34"/>
      <c r="J98" s="34"/>
      <c r="K98" s="34"/>
      <c r="L98" s="34"/>
      <c r="M98" s="34"/>
      <c r="N98" s="34"/>
      <c r="O98" s="34"/>
      <c r="P98" s="34"/>
      <c r="Q98" s="34"/>
      <c r="R98" s="34"/>
      <c r="S98" s="34"/>
      <c r="T98" s="34"/>
      <c r="U98" s="34"/>
    </row>
    <row r="99" spans="2:21" x14ac:dyDescent="0.45">
      <c r="B99" s="39"/>
      <c r="C99" s="34"/>
      <c r="D99" s="34"/>
      <c r="E99" s="34"/>
      <c r="F99" s="34"/>
      <c r="G99" s="34"/>
      <c r="H99" s="34"/>
      <c r="I99" s="34"/>
      <c r="J99" s="34"/>
      <c r="K99" s="34"/>
      <c r="L99" s="34"/>
      <c r="M99" s="34"/>
      <c r="N99" s="34"/>
      <c r="O99" s="34"/>
      <c r="P99" s="34"/>
      <c r="Q99" s="34"/>
      <c r="R99" s="34"/>
      <c r="S99" s="34"/>
      <c r="T99" s="34"/>
      <c r="U99" s="34"/>
    </row>
    <row r="100" spans="2:21" x14ac:dyDescent="0.45">
      <c r="B100" s="39"/>
      <c r="C100" s="34"/>
      <c r="D100" s="34"/>
      <c r="E100" s="34"/>
      <c r="F100" s="34"/>
      <c r="G100" s="34"/>
      <c r="H100" s="34"/>
      <c r="I100" s="34"/>
      <c r="J100" s="34"/>
      <c r="K100" s="34"/>
      <c r="L100" s="34"/>
      <c r="M100" s="34"/>
      <c r="N100" s="34"/>
      <c r="O100" s="34"/>
      <c r="P100" s="34"/>
      <c r="Q100" s="34"/>
      <c r="R100" s="34"/>
      <c r="S100" s="34"/>
      <c r="T100" s="34"/>
      <c r="U100" s="34"/>
    </row>
    <row r="101" spans="2:21" x14ac:dyDescent="0.45">
      <c r="B101" s="39"/>
      <c r="C101" s="34"/>
      <c r="D101" s="34"/>
      <c r="E101" s="34"/>
      <c r="F101" s="34"/>
      <c r="G101" s="34"/>
      <c r="H101" s="34"/>
      <c r="I101" s="34"/>
      <c r="J101" s="34"/>
      <c r="K101" s="34"/>
      <c r="L101" s="34"/>
      <c r="M101" s="34"/>
      <c r="N101" s="34"/>
      <c r="O101" s="34"/>
      <c r="P101" s="34"/>
      <c r="Q101" s="34"/>
      <c r="R101" s="34"/>
      <c r="S101" s="34"/>
      <c r="T101" s="34"/>
      <c r="U101" s="34"/>
    </row>
    <row r="102" spans="2:21" x14ac:dyDescent="0.45">
      <c r="B102" s="39"/>
      <c r="C102" s="34"/>
      <c r="D102" s="34"/>
      <c r="E102" s="34"/>
      <c r="F102" s="34"/>
      <c r="G102" s="34"/>
      <c r="H102" s="34"/>
      <c r="I102" s="34"/>
      <c r="J102" s="34"/>
      <c r="K102" s="34"/>
      <c r="L102" s="34"/>
      <c r="M102" s="34"/>
      <c r="N102" s="34"/>
      <c r="O102" s="34"/>
      <c r="P102" s="34"/>
      <c r="Q102" s="34"/>
      <c r="R102" s="34"/>
      <c r="S102" s="34"/>
      <c r="T102" s="34"/>
      <c r="U102" s="34"/>
    </row>
    <row r="103" spans="2:21" x14ac:dyDescent="0.45">
      <c r="B103" s="39"/>
      <c r="C103" s="34"/>
      <c r="D103" s="34"/>
      <c r="E103" s="34"/>
      <c r="F103" s="34"/>
      <c r="G103" s="34"/>
      <c r="H103" s="34"/>
      <c r="I103" s="34"/>
      <c r="J103" s="34"/>
      <c r="K103" s="34"/>
      <c r="L103" s="34"/>
      <c r="M103" s="34"/>
      <c r="N103" s="34"/>
      <c r="O103" s="34"/>
      <c r="P103" s="34"/>
      <c r="Q103" s="34"/>
      <c r="R103" s="34"/>
      <c r="S103" s="34"/>
      <c r="T103" s="34"/>
      <c r="U103" s="34"/>
    </row>
    <row r="104" spans="2:21" x14ac:dyDescent="0.45">
      <c r="B104" s="39"/>
      <c r="C104" s="34"/>
      <c r="D104" s="34"/>
      <c r="E104" s="34"/>
      <c r="F104" s="34"/>
      <c r="G104" s="34"/>
      <c r="H104" s="34"/>
      <c r="I104" s="34"/>
      <c r="J104" s="34"/>
      <c r="K104" s="34"/>
      <c r="L104" s="34"/>
      <c r="M104" s="34"/>
      <c r="N104" s="34"/>
      <c r="O104" s="34"/>
      <c r="P104" s="34"/>
      <c r="Q104" s="34"/>
      <c r="R104" s="34"/>
      <c r="S104" s="34"/>
      <c r="T104" s="34"/>
      <c r="U104" s="34"/>
    </row>
    <row r="105" spans="2:21" x14ac:dyDescent="0.45">
      <c r="B105" s="39"/>
      <c r="C105" s="34"/>
      <c r="D105" s="34"/>
      <c r="E105" s="34"/>
      <c r="F105" s="34"/>
      <c r="G105" s="34"/>
      <c r="H105" s="34"/>
      <c r="I105" s="34"/>
      <c r="J105" s="34"/>
      <c r="K105" s="34"/>
      <c r="L105" s="34"/>
      <c r="M105" s="34"/>
      <c r="N105" s="34"/>
      <c r="O105" s="34"/>
      <c r="P105" s="34"/>
      <c r="Q105" s="34"/>
      <c r="R105" s="34"/>
      <c r="S105" s="34"/>
      <c r="T105" s="34"/>
      <c r="U105" s="34"/>
    </row>
    <row r="106" spans="2:21" x14ac:dyDescent="0.45">
      <c r="B106" s="39"/>
      <c r="C106" s="34"/>
      <c r="D106" s="34"/>
      <c r="E106" s="34"/>
      <c r="F106" s="34"/>
      <c r="G106" s="34"/>
      <c r="H106" s="34"/>
      <c r="I106" s="34"/>
      <c r="J106" s="34"/>
      <c r="K106" s="34"/>
      <c r="L106" s="34"/>
      <c r="M106" s="34"/>
      <c r="N106" s="34"/>
      <c r="O106" s="34"/>
      <c r="P106" s="34"/>
      <c r="Q106" s="34"/>
      <c r="R106" s="34"/>
      <c r="S106" s="34"/>
      <c r="T106" s="34"/>
      <c r="U106" s="34"/>
    </row>
    <row r="107" spans="2:21" x14ac:dyDescent="0.45">
      <c r="B107" s="39"/>
      <c r="C107" s="34"/>
      <c r="D107" s="34"/>
      <c r="E107" s="34"/>
      <c r="F107" s="34"/>
      <c r="G107" s="34"/>
      <c r="H107" s="34"/>
      <c r="I107" s="34"/>
      <c r="J107" s="34"/>
      <c r="K107" s="34"/>
      <c r="L107" s="34"/>
      <c r="M107" s="34"/>
      <c r="N107" s="34"/>
      <c r="O107" s="34"/>
      <c r="P107" s="34"/>
      <c r="Q107" s="34"/>
      <c r="R107" s="34"/>
      <c r="S107" s="34"/>
      <c r="T107" s="34"/>
      <c r="U107" s="34"/>
    </row>
    <row r="108" spans="2:21" x14ac:dyDescent="0.45">
      <c r="B108" s="39"/>
      <c r="C108" s="34"/>
      <c r="D108" s="34"/>
      <c r="E108" s="34"/>
      <c r="F108" s="34"/>
      <c r="G108" s="34"/>
      <c r="H108" s="34"/>
      <c r="I108" s="34"/>
      <c r="J108" s="34"/>
      <c r="K108" s="34"/>
      <c r="L108" s="34"/>
      <c r="M108" s="34"/>
      <c r="N108" s="34"/>
      <c r="O108" s="34"/>
      <c r="P108" s="34"/>
      <c r="Q108" s="34"/>
      <c r="R108" s="34"/>
      <c r="S108" s="34"/>
      <c r="T108" s="34"/>
      <c r="U108" s="34"/>
    </row>
    <row r="109" spans="2:21" x14ac:dyDescent="0.45">
      <c r="B109" s="39"/>
      <c r="C109" s="34"/>
      <c r="D109" s="34"/>
      <c r="E109" s="34"/>
      <c r="F109" s="34"/>
      <c r="G109" s="34"/>
      <c r="H109" s="34"/>
      <c r="I109" s="34"/>
      <c r="J109" s="34"/>
      <c r="K109" s="34"/>
      <c r="L109" s="34"/>
      <c r="M109" s="34"/>
      <c r="N109" s="34"/>
      <c r="O109" s="34"/>
      <c r="P109" s="34"/>
      <c r="Q109" s="34"/>
      <c r="R109" s="34"/>
      <c r="S109" s="34"/>
      <c r="T109" s="34"/>
      <c r="U109" s="34"/>
    </row>
    <row r="110" spans="2:21" x14ac:dyDescent="0.45">
      <c r="B110" s="39"/>
      <c r="C110" s="34"/>
      <c r="D110" s="34"/>
      <c r="E110" s="34"/>
      <c r="F110" s="34"/>
      <c r="G110" s="34"/>
      <c r="H110" s="34"/>
      <c r="I110" s="34"/>
      <c r="J110" s="34"/>
      <c r="K110" s="34"/>
      <c r="L110" s="34"/>
      <c r="M110" s="34"/>
      <c r="N110" s="34"/>
      <c r="O110" s="34"/>
      <c r="P110" s="34"/>
      <c r="Q110" s="34"/>
      <c r="R110" s="34"/>
      <c r="S110" s="34"/>
      <c r="T110" s="34"/>
      <c r="U110" s="34"/>
    </row>
    <row r="111" spans="2:21" x14ac:dyDescent="0.45">
      <c r="B111" s="39"/>
      <c r="C111" s="34"/>
      <c r="D111" s="34"/>
      <c r="E111" s="34"/>
      <c r="F111" s="34"/>
      <c r="G111" s="34"/>
      <c r="H111" s="34"/>
      <c r="I111" s="34"/>
      <c r="J111" s="34"/>
      <c r="K111" s="34"/>
      <c r="L111" s="34"/>
      <c r="M111" s="34"/>
      <c r="N111" s="34"/>
      <c r="O111" s="34"/>
      <c r="P111" s="34"/>
      <c r="Q111" s="34"/>
      <c r="R111" s="34"/>
      <c r="S111" s="34"/>
      <c r="T111" s="34"/>
      <c r="U111" s="34"/>
    </row>
    <row r="112" spans="2:21" x14ac:dyDescent="0.45">
      <c r="B112" s="39"/>
      <c r="C112" s="34"/>
      <c r="D112" s="34"/>
      <c r="E112" s="34"/>
      <c r="F112" s="34"/>
      <c r="G112" s="34"/>
      <c r="H112" s="34"/>
      <c r="I112" s="34"/>
      <c r="J112" s="34"/>
      <c r="K112" s="34"/>
      <c r="L112" s="34"/>
      <c r="M112" s="34"/>
      <c r="N112" s="34"/>
      <c r="O112" s="34"/>
      <c r="P112" s="34"/>
      <c r="Q112" s="34"/>
      <c r="R112" s="34"/>
      <c r="S112" s="34"/>
      <c r="T112" s="34"/>
      <c r="U112" s="34"/>
    </row>
    <row r="113" spans="2:21" x14ac:dyDescent="0.45">
      <c r="B113" s="39"/>
      <c r="C113" s="34"/>
      <c r="D113" s="34"/>
      <c r="E113" s="34"/>
      <c r="F113" s="34"/>
      <c r="G113" s="34"/>
      <c r="H113" s="34"/>
      <c r="I113" s="34"/>
      <c r="J113" s="34"/>
      <c r="K113" s="34"/>
      <c r="L113" s="34"/>
      <c r="M113" s="34"/>
      <c r="N113" s="34"/>
      <c r="O113" s="34"/>
      <c r="P113" s="34"/>
      <c r="Q113" s="34"/>
      <c r="R113" s="34"/>
      <c r="S113" s="34"/>
      <c r="T113" s="34"/>
      <c r="U113" s="34"/>
    </row>
    <row r="114" spans="2:21" x14ac:dyDescent="0.45">
      <c r="B114" s="39"/>
      <c r="C114" s="34"/>
      <c r="D114" s="34"/>
      <c r="E114" s="34"/>
      <c r="F114" s="34"/>
      <c r="G114" s="34"/>
      <c r="H114" s="34"/>
      <c r="I114" s="34"/>
      <c r="J114" s="34"/>
      <c r="K114" s="34"/>
      <c r="L114" s="34"/>
      <c r="M114" s="34"/>
      <c r="N114" s="34"/>
      <c r="O114" s="34"/>
      <c r="P114" s="34"/>
      <c r="Q114" s="34"/>
      <c r="R114" s="34"/>
      <c r="S114" s="34"/>
      <c r="T114" s="34"/>
      <c r="U114" s="34"/>
    </row>
    <row r="115" spans="2:21" x14ac:dyDescent="0.45">
      <c r="B115" s="39"/>
      <c r="C115" s="34"/>
      <c r="D115" s="34"/>
      <c r="E115" s="34"/>
      <c r="F115" s="34"/>
      <c r="G115" s="34"/>
      <c r="H115" s="34"/>
      <c r="I115" s="34"/>
      <c r="J115" s="34"/>
      <c r="K115" s="34"/>
      <c r="L115" s="34"/>
      <c r="M115" s="34"/>
      <c r="N115" s="34"/>
      <c r="O115" s="34"/>
      <c r="P115" s="34"/>
      <c r="Q115" s="34"/>
      <c r="R115" s="34"/>
      <c r="S115" s="34"/>
      <c r="T115" s="34"/>
      <c r="U115" s="34"/>
    </row>
    <row r="116" spans="2:21" x14ac:dyDescent="0.45">
      <c r="B116" s="39"/>
      <c r="C116" s="34"/>
      <c r="D116" s="34"/>
      <c r="E116" s="34"/>
      <c r="F116" s="34"/>
      <c r="G116" s="34"/>
      <c r="H116" s="34"/>
      <c r="I116" s="34"/>
      <c r="J116" s="34"/>
      <c r="K116" s="34"/>
      <c r="L116" s="34"/>
      <c r="M116" s="34"/>
      <c r="N116" s="34"/>
      <c r="O116" s="34"/>
      <c r="P116" s="34"/>
      <c r="Q116" s="34"/>
      <c r="R116" s="34"/>
      <c r="S116" s="34"/>
      <c r="T116" s="34"/>
      <c r="U116" s="34"/>
    </row>
    <row r="117" spans="2:21" x14ac:dyDescent="0.45">
      <c r="B117" s="39"/>
      <c r="C117" s="34"/>
      <c r="D117" s="34"/>
      <c r="E117" s="34"/>
      <c r="F117" s="34"/>
      <c r="G117" s="34"/>
      <c r="H117" s="34"/>
      <c r="I117" s="34"/>
      <c r="J117" s="34"/>
      <c r="K117" s="34"/>
      <c r="L117" s="34"/>
      <c r="M117" s="34"/>
      <c r="N117" s="34"/>
      <c r="O117" s="34"/>
      <c r="P117" s="34"/>
      <c r="Q117" s="34"/>
      <c r="R117" s="34"/>
      <c r="S117" s="34"/>
      <c r="T117" s="34"/>
      <c r="U117" s="34"/>
    </row>
    <row r="118" spans="2:21" x14ac:dyDescent="0.45">
      <c r="B118" s="39"/>
      <c r="C118" s="34"/>
      <c r="D118" s="34"/>
      <c r="E118" s="34"/>
      <c r="F118" s="34"/>
      <c r="G118" s="34"/>
      <c r="H118" s="34"/>
      <c r="I118" s="34"/>
      <c r="J118" s="34"/>
      <c r="K118" s="34"/>
      <c r="L118" s="34"/>
      <c r="M118" s="34"/>
      <c r="N118" s="34"/>
      <c r="O118" s="34"/>
      <c r="P118" s="34"/>
      <c r="Q118" s="34"/>
      <c r="R118" s="34"/>
      <c r="S118" s="34"/>
      <c r="T118" s="34"/>
      <c r="U118" s="34"/>
    </row>
    <row r="119" spans="2:21" x14ac:dyDescent="0.45">
      <c r="B119" s="39"/>
      <c r="C119" s="34"/>
      <c r="D119" s="34"/>
      <c r="E119" s="34"/>
      <c r="F119" s="34"/>
      <c r="G119" s="34"/>
      <c r="H119" s="34"/>
      <c r="I119" s="34"/>
      <c r="J119" s="34"/>
      <c r="K119" s="34"/>
      <c r="L119" s="34"/>
      <c r="M119" s="34"/>
      <c r="N119" s="34"/>
      <c r="O119" s="34"/>
      <c r="P119" s="34"/>
      <c r="Q119" s="34"/>
      <c r="R119" s="34"/>
      <c r="S119" s="34"/>
      <c r="T119" s="34"/>
      <c r="U119" s="34"/>
    </row>
    <row r="120" spans="2:21" x14ac:dyDescent="0.45">
      <c r="B120" s="39"/>
      <c r="C120" s="34"/>
      <c r="D120" s="34"/>
      <c r="E120" s="34"/>
      <c r="F120" s="34"/>
      <c r="G120" s="34"/>
      <c r="H120" s="34"/>
      <c r="I120" s="34"/>
      <c r="J120" s="34"/>
      <c r="K120" s="34"/>
      <c r="L120" s="34"/>
      <c r="M120" s="34"/>
      <c r="N120" s="34"/>
      <c r="O120" s="34"/>
      <c r="P120" s="34"/>
      <c r="Q120" s="34"/>
      <c r="R120" s="34"/>
      <c r="S120" s="34"/>
      <c r="T120" s="34"/>
      <c r="U120" s="34"/>
    </row>
    <row r="121" spans="2:21" x14ac:dyDescent="0.45">
      <c r="B121" s="39"/>
      <c r="C121" s="34"/>
      <c r="D121" s="34"/>
      <c r="E121" s="34"/>
      <c r="F121" s="34"/>
      <c r="G121" s="34"/>
      <c r="H121" s="34"/>
      <c r="I121" s="34"/>
      <c r="J121" s="34"/>
      <c r="K121" s="34"/>
      <c r="L121" s="34"/>
      <c r="M121" s="34"/>
      <c r="N121" s="34"/>
      <c r="O121" s="34"/>
      <c r="P121" s="34"/>
      <c r="Q121" s="34"/>
      <c r="R121" s="34"/>
      <c r="S121" s="34"/>
      <c r="T121" s="34"/>
      <c r="U121" s="34"/>
    </row>
    <row r="122" spans="2:21" x14ac:dyDescent="0.45">
      <c r="B122" s="39"/>
      <c r="C122" s="34"/>
      <c r="D122" s="34"/>
      <c r="E122" s="34"/>
      <c r="F122" s="34"/>
      <c r="G122" s="34"/>
      <c r="H122" s="34"/>
      <c r="I122" s="34"/>
      <c r="J122" s="34"/>
      <c r="K122" s="34"/>
      <c r="L122" s="34"/>
      <c r="M122" s="34"/>
      <c r="N122" s="34"/>
      <c r="O122" s="34"/>
      <c r="P122" s="34"/>
      <c r="Q122" s="34"/>
      <c r="R122" s="34"/>
      <c r="S122" s="34"/>
      <c r="T122" s="34"/>
      <c r="U122" s="34"/>
    </row>
    <row r="123" spans="2:21" x14ac:dyDescent="0.45">
      <c r="B123" s="39"/>
      <c r="C123" s="34"/>
      <c r="D123" s="34"/>
      <c r="E123" s="34"/>
      <c r="F123" s="34"/>
      <c r="G123" s="34"/>
      <c r="H123" s="34"/>
      <c r="I123" s="34"/>
      <c r="J123" s="34"/>
      <c r="K123" s="34"/>
      <c r="L123" s="34"/>
      <c r="M123" s="34"/>
      <c r="N123" s="34"/>
      <c r="O123" s="34"/>
      <c r="P123" s="34"/>
      <c r="Q123" s="34"/>
      <c r="R123" s="34"/>
      <c r="S123" s="34"/>
      <c r="T123" s="34"/>
      <c r="U123" s="34"/>
    </row>
    <row r="124" spans="2:21" x14ac:dyDescent="0.45">
      <c r="B124" s="39"/>
      <c r="C124" s="34"/>
      <c r="D124" s="34"/>
      <c r="E124" s="34"/>
      <c r="F124" s="34"/>
      <c r="G124" s="34"/>
      <c r="H124" s="34"/>
      <c r="I124" s="34"/>
      <c r="J124" s="34"/>
      <c r="K124" s="34"/>
      <c r="L124" s="34"/>
      <c r="M124" s="34"/>
      <c r="N124" s="34"/>
      <c r="O124" s="34"/>
      <c r="P124" s="34"/>
      <c r="Q124" s="34"/>
      <c r="R124" s="34"/>
      <c r="S124" s="34"/>
      <c r="T124" s="34"/>
      <c r="U124" s="34"/>
    </row>
    <row r="125" spans="2:21" x14ac:dyDescent="0.45">
      <c r="B125" s="39"/>
      <c r="C125" s="34"/>
      <c r="D125" s="34"/>
      <c r="E125" s="34"/>
      <c r="F125" s="34"/>
      <c r="G125" s="34"/>
      <c r="H125" s="34"/>
      <c r="I125" s="34"/>
      <c r="J125" s="34"/>
      <c r="K125" s="34"/>
      <c r="L125" s="34"/>
      <c r="M125" s="34"/>
      <c r="N125" s="34"/>
      <c r="O125" s="34"/>
      <c r="P125" s="34"/>
      <c r="Q125" s="34"/>
      <c r="R125" s="34"/>
      <c r="S125" s="34"/>
      <c r="T125" s="34"/>
      <c r="U125" s="34"/>
    </row>
    <row r="126" spans="2:21" x14ac:dyDescent="0.45">
      <c r="B126" s="39"/>
      <c r="C126" s="34"/>
      <c r="D126" s="34"/>
      <c r="E126" s="34"/>
      <c r="F126" s="34"/>
      <c r="G126" s="34"/>
      <c r="H126" s="34"/>
      <c r="I126" s="34"/>
      <c r="J126" s="34"/>
      <c r="K126" s="34"/>
      <c r="L126" s="34"/>
      <c r="M126" s="34"/>
      <c r="N126" s="34"/>
      <c r="O126" s="34"/>
      <c r="P126" s="34"/>
      <c r="Q126" s="34"/>
      <c r="R126" s="34"/>
      <c r="S126" s="34"/>
      <c r="T126" s="34"/>
      <c r="U126" s="34"/>
    </row>
    <row r="127" spans="2:21" x14ac:dyDescent="0.45">
      <c r="B127" s="39"/>
      <c r="C127" s="34"/>
      <c r="D127" s="34"/>
      <c r="E127" s="34"/>
      <c r="F127" s="34"/>
      <c r="G127" s="34"/>
      <c r="H127" s="34"/>
      <c r="I127" s="34"/>
      <c r="J127" s="34"/>
      <c r="K127" s="34"/>
      <c r="L127" s="34"/>
      <c r="M127" s="34"/>
      <c r="N127" s="34"/>
      <c r="O127" s="34"/>
      <c r="P127" s="34"/>
      <c r="Q127" s="34"/>
      <c r="R127" s="34"/>
      <c r="S127" s="34"/>
      <c r="T127" s="34"/>
      <c r="U127" s="34"/>
    </row>
    <row r="128" spans="2:21" x14ac:dyDescent="0.45">
      <c r="B128" s="39"/>
      <c r="C128" s="34"/>
      <c r="D128" s="34"/>
      <c r="E128" s="34"/>
      <c r="F128" s="34"/>
      <c r="G128" s="34"/>
      <c r="H128" s="34"/>
      <c r="I128" s="34"/>
      <c r="J128" s="34"/>
      <c r="K128" s="34"/>
      <c r="L128" s="34"/>
      <c r="M128" s="34"/>
      <c r="N128" s="34"/>
      <c r="O128" s="34"/>
      <c r="P128" s="34"/>
      <c r="Q128" s="34"/>
      <c r="R128" s="34"/>
      <c r="S128" s="34"/>
      <c r="T128" s="34"/>
      <c r="U128" s="34"/>
    </row>
    <row r="129" spans="2:21" x14ac:dyDescent="0.45">
      <c r="B129" s="39"/>
      <c r="C129" s="34"/>
      <c r="D129" s="34"/>
      <c r="E129" s="34"/>
      <c r="F129" s="34"/>
      <c r="G129" s="34"/>
      <c r="H129" s="34"/>
      <c r="I129" s="34"/>
      <c r="J129" s="34"/>
      <c r="K129" s="34"/>
      <c r="L129" s="34"/>
      <c r="M129" s="34"/>
      <c r="N129" s="34"/>
      <c r="O129" s="34"/>
      <c r="P129" s="34"/>
      <c r="Q129" s="34"/>
      <c r="R129" s="34"/>
      <c r="S129" s="34"/>
      <c r="T129" s="34"/>
      <c r="U129" s="34"/>
    </row>
    <row r="130" spans="2:21" x14ac:dyDescent="0.45">
      <c r="B130" s="39"/>
      <c r="C130" s="34"/>
      <c r="D130" s="34"/>
      <c r="E130" s="34"/>
      <c r="F130" s="34"/>
      <c r="G130" s="34"/>
      <c r="H130" s="34"/>
      <c r="I130" s="34"/>
      <c r="J130" s="34"/>
      <c r="K130" s="34"/>
      <c r="L130" s="34"/>
      <c r="M130" s="34"/>
      <c r="N130" s="34"/>
      <c r="O130" s="34"/>
      <c r="P130" s="34"/>
      <c r="Q130" s="34"/>
      <c r="R130" s="34"/>
      <c r="S130" s="34"/>
      <c r="T130" s="34"/>
      <c r="U130" s="34"/>
    </row>
    <row r="131" spans="2:21" x14ac:dyDescent="0.45">
      <c r="B131" s="39"/>
      <c r="C131" s="34"/>
      <c r="D131" s="34"/>
      <c r="E131" s="34"/>
      <c r="F131" s="34"/>
      <c r="G131" s="34"/>
      <c r="H131" s="34"/>
      <c r="I131" s="34"/>
      <c r="J131" s="34"/>
      <c r="K131" s="34"/>
      <c r="L131" s="34"/>
      <c r="M131" s="34"/>
      <c r="N131" s="34"/>
      <c r="O131" s="34"/>
      <c r="P131" s="34"/>
      <c r="Q131" s="34"/>
      <c r="R131" s="34"/>
      <c r="S131" s="34"/>
      <c r="T131" s="34"/>
      <c r="U131" s="34"/>
    </row>
    <row r="132" spans="2:21" x14ac:dyDescent="0.45">
      <c r="B132" s="39"/>
      <c r="C132" s="34"/>
      <c r="D132" s="34"/>
      <c r="E132" s="34"/>
      <c r="F132" s="34"/>
      <c r="G132" s="34"/>
      <c r="H132" s="34"/>
      <c r="I132" s="34"/>
      <c r="J132" s="34"/>
      <c r="K132" s="34"/>
      <c r="L132" s="34"/>
      <c r="M132" s="34"/>
      <c r="N132" s="34"/>
      <c r="O132" s="34"/>
      <c r="P132" s="34"/>
      <c r="Q132" s="34"/>
      <c r="R132" s="34"/>
      <c r="S132" s="34"/>
      <c r="T132" s="34"/>
      <c r="U132" s="34"/>
    </row>
    <row r="133" spans="2:21" x14ac:dyDescent="0.45">
      <c r="B133" s="39"/>
      <c r="C133" s="34"/>
      <c r="D133" s="34"/>
      <c r="E133" s="34"/>
      <c r="F133" s="34"/>
      <c r="G133" s="34"/>
      <c r="H133" s="34"/>
      <c r="I133" s="34"/>
      <c r="J133" s="34"/>
      <c r="K133" s="34"/>
      <c r="L133" s="34"/>
      <c r="M133" s="34"/>
      <c r="N133" s="34"/>
      <c r="O133" s="34"/>
      <c r="P133" s="34"/>
      <c r="Q133" s="34"/>
      <c r="R133" s="34"/>
      <c r="S133" s="34"/>
      <c r="T133" s="34"/>
      <c r="U133" s="34"/>
    </row>
    <row r="134" spans="2:21" x14ac:dyDescent="0.45">
      <c r="B134" s="39"/>
      <c r="C134" s="34"/>
      <c r="D134" s="34"/>
      <c r="E134" s="34"/>
      <c r="F134" s="34"/>
      <c r="G134" s="34"/>
      <c r="H134" s="34"/>
      <c r="I134" s="34"/>
      <c r="J134" s="34"/>
      <c r="K134" s="34"/>
      <c r="L134" s="34"/>
      <c r="M134" s="34"/>
      <c r="N134" s="34"/>
      <c r="O134" s="34"/>
      <c r="P134" s="34"/>
      <c r="Q134" s="34"/>
      <c r="R134" s="34"/>
      <c r="S134" s="34"/>
      <c r="T134" s="34"/>
      <c r="U134" s="34"/>
    </row>
    <row r="135" spans="2:21" x14ac:dyDescent="0.45">
      <c r="B135" s="39"/>
      <c r="C135" s="34"/>
      <c r="D135" s="34"/>
      <c r="E135" s="34"/>
      <c r="F135" s="34"/>
      <c r="G135" s="34"/>
      <c r="H135" s="34"/>
      <c r="I135" s="34"/>
      <c r="J135" s="34"/>
      <c r="K135" s="34"/>
      <c r="L135" s="34"/>
      <c r="M135" s="34"/>
      <c r="N135" s="34"/>
      <c r="O135" s="34"/>
      <c r="P135" s="34"/>
      <c r="Q135" s="34"/>
      <c r="R135" s="34"/>
      <c r="S135" s="34"/>
      <c r="T135" s="34"/>
      <c r="U135" s="34"/>
    </row>
    <row r="136" spans="2:21" x14ac:dyDescent="0.45">
      <c r="B136" s="39"/>
      <c r="C136" s="34"/>
      <c r="D136" s="34"/>
      <c r="E136" s="34"/>
      <c r="F136" s="34"/>
      <c r="G136" s="34"/>
      <c r="H136" s="34"/>
      <c r="I136" s="34"/>
      <c r="J136" s="34"/>
      <c r="K136" s="34"/>
      <c r="L136" s="34"/>
      <c r="M136" s="34"/>
      <c r="N136" s="34"/>
      <c r="O136" s="34"/>
      <c r="P136" s="34"/>
      <c r="Q136" s="34"/>
      <c r="R136" s="34"/>
      <c r="S136" s="34"/>
      <c r="T136" s="34"/>
      <c r="U136" s="34"/>
    </row>
    <row r="137" spans="2:21" x14ac:dyDescent="0.45">
      <c r="B137" s="39"/>
      <c r="C137" s="34"/>
      <c r="D137" s="34"/>
      <c r="E137" s="34"/>
      <c r="F137" s="34"/>
      <c r="G137" s="34"/>
      <c r="H137" s="34"/>
      <c r="I137" s="34"/>
      <c r="J137" s="34"/>
      <c r="K137" s="34"/>
      <c r="L137" s="34"/>
      <c r="M137" s="34"/>
      <c r="N137" s="34"/>
      <c r="O137" s="34"/>
      <c r="P137" s="34"/>
      <c r="Q137" s="34"/>
      <c r="R137" s="34"/>
      <c r="S137" s="34"/>
      <c r="T137" s="34"/>
      <c r="U137" s="34"/>
    </row>
    <row r="138" spans="2:21" x14ac:dyDescent="0.45">
      <c r="B138" s="39"/>
      <c r="C138" s="34"/>
      <c r="D138" s="34"/>
      <c r="E138" s="34"/>
      <c r="F138" s="34"/>
      <c r="G138" s="34"/>
      <c r="H138" s="34"/>
      <c r="I138" s="34"/>
      <c r="J138" s="34"/>
      <c r="K138" s="34"/>
      <c r="L138" s="34"/>
      <c r="M138" s="34"/>
      <c r="N138" s="34"/>
      <c r="O138" s="34"/>
      <c r="P138" s="34"/>
      <c r="Q138" s="34"/>
      <c r="R138" s="34"/>
      <c r="S138" s="34"/>
      <c r="T138" s="34"/>
      <c r="U138" s="34"/>
    </row>
    <row r="139" spans="2:21" x14ac:dyDescent="0.45">
      <c r="B139" s="39"/>
      <c r="C139" s="34"/>
      <c r="D139" s="34"/>
      <c r="E139" s="34"/>
      <c r="F139" s="34"/>
      <c r="G139" s="34"/>
      <c r="H139" s="34"/>
      <c r="I139" s="34"/>
      <c r="J139" s="34"/>
      <c r="K139" s="34"/>
      <c r="L139" s="34"/>
      <c r="M139" s="34"/>
      <c r="N139" s="34"/>
      <c r="O139" s="34"/>
      <c r="P139" s="34"/>
      <c r="Q139" s="34"/>
      <c r="R139" s="34"/>
      <c r="S139" s="34"/>
      <c r="T139" s="34"/>
      <c r="U139" s="34"/>
    </row>
    <row r="140" spans="2:21" x14ac:dyDescent="0.45">
      <c r="B140" s="39"/>
      <c r="C140" s="34"/>
      <c r="D140" s="34"/>
      <c r="E140" s="34"/>
      <c r="F140" s="34"/>
      <c r="G140" s="34"/>
      <c r="H140" s="34"/>
      <c r="I140" s="34"/>
      <c r="J140" s="34"/>
      <c r="K140" s="34"/>
      <c r="L140" s="34"/>
      <c r="M140" s="34"/>
      <c r="N140" s="34"/>
      <c r="O140" s="34"/>
      <c r="P140" s="34"/>
      <c r="Q140" s="34"/>
      <c r="R140" s="34"/>
      <c r="S140" s="34"/>
      <c r="T140" s="34"/>
      <c r="U140" s="34"/>
    </row>
    <row r="141" spans="2:21" x14ac:dyDescent="0.45">
      <c r="B141" s="39"/>
      <c r="C141" s="34"/>
      <c r="D141" s="34"/>
      <c r="E141" s="34"/>
      <c r="F141" s="34"/>
      <c r="G141" s="34"/>
      <c r="H141" s="34"/>
      <c r="I141" s="34"/>
      <c r="J141" s="34"/>
      <c r="K141" s="34"/>
      <c r="L141" s="34"/>
      <c r="M141" s="34"/>
      <c r="N141" s="34"/>
      <c r="O141" s="34"/>
      <c r="P141" s="34"/>
      <c r="Q141" s="34"/>
      <c r="R141" s="34"/>
      <c r="S141" s="34"/>
      <c r="T141" s="34"/>
      <c r="U141" s="34"/>
    </row>
    <row r="142" spans="2:21" x14ac:dyDescent="0.45">
      <c r="B142" s="39"/>
      <c r="C142" s="34"/>
      <c r="D142" s="34"/>
      <c r="E142" s="34"/>
      <c r="F142" s="34"/>
      <c r="G142" s="34"/>
      <c r="H142" s="34"/>
      <c r="I142" s="34"/>
      <c r="J142" s="34"/>
      <c r="K142" s="34"/>
      <c r="L142" s="34"/>
      <c r="M142" s="34"/>
      <c r="N142" s="34"/>
      <c r="O142" s="34"/>
      <c r="P142" s="34"/>
      <c r="Q142" s="34"/>
      <c r="R142" s="34"/>
      <c r="S142" s="34"/>
      <c r="T142" s="34"/>
      <c r="U142" s="34"/>
    </row>
    <row r="143" spans="2:21" x14ac:dyDescent="0.45">
      <c r="B143" s="39"/>
      <c r="C143" s="34"/>
      <c r="D143" s="34"/>
      <c r="E143" s="34"/>
      <c r="F143" s="34"/>
      <c r="G143" s="34"/>
      <c r="H143" s="34"/>
      <c r="I143" s="34"/>
      <c r="J143" s="34"/>
      <c r="K143" s="34"/>
      <c r="L143" s="34"/>
      <c r="M143" s="34"/>
      <c r="N143" s="34"/>
      <c r="O143" s="34"/>
      <c r="P143" s="34"/>
      <c r="Q143" s="34"/>
      <c r="R143" s="34"/>
      <c r="S143" s="34"/>
      <c r="T143" s="34"/>
      <c r="U143" s="34"/>
    </row>
    <row r="144" spans="2:21" x14ac:dyDescent="0.45">
      <c r="B144" s="39"/>
      <c r="C144" s="34"/>
      <c r="D144" s="34"/>
      <c r="E144" s="34"/>
      <c r="F144" s="34"/>
      <c r="G144" s="34"/>
      <c r="H144" s="34"/>
      <c r="I144" s="34"/>
      <c r="J144" s="34"/>
      <c r="K144" s="34"/>
      <c r="L144" s="34"/>
      <c r="M144" s="34"/>
      <c r="N144" s="34"/>
      <c r="O144" s="34"/>
      <c r="P144" s="34"/>
      <c r="Q144" s="34"/>
      <c r="R144" s="34"/>
      <c r="S144" s="34"/>
      <c r="T144" s="34"/>
      <c r="U144" s="34"/>
    </row>
    <row r="145" spans="2:21" x14ac:dyDescent="0.45">
      <c r="B145" s="39"/>
      <c r="C145" s="34"/>
      <c r="D145" s="34"/>
      <c r="E145" s="34"/>
      <c r="F145" s="34"/>
      <c r="G145" s="34"/>
      <c r="H145" s="34"/>
      <c r="I145" s="34"/>
      <c r="J145" s="34"/>
      <c r="K145" s="34"/>
      <c r="L145" s="34"/>
      <c r="M145" s="34"/>
      <c r="N145" s="34"/>
      <c r="O145" s="34"/>
      <c r="P145" s="34"/>
      <c r="Q145" s="34"/>
      <c r="R145" s="34"/>
      <c r="S145" s="34"/>
      <c r="T145" s="34"/>
      <c r="U145" s="34"/>
    </row>
    <row r="146" spans="2:21" x14ac:dyDescent="0.45">
      <c r="B146" s="39"/>
      <c r="C146" s="34"/>
      <c r="D146" s="34"/>
      <c r="E146" s="34"/>
      <c r="F146" s="34"/>
      <c r="G146" s="34"/>
      <c r="H146" s="34"/>
      <c r="I146" s="34"/>
      <c r="J146" s="34"/>
      <c r="K146" s="34"/>
      <c r="L146" s="34"/>
      <c r="M146" s="34"/>
      <c r="N146" s="34"/>
      <c r="O146" s="34"/>
      <c r="P146" s="34"/>
      <c r="Q146" s="34"/>
      <c r="R146" s="34"/>
      <c r="S146" s="34"/>
      <c r="T146" s="34"/>
      <c r="U146" s="34"/>
    </row>
    <row r="147" spans="2:21" x14ac:dyDescent="0.45">
      <c r="B147" s="39"/>
      <c r="C147" s="34"/>
      <c r="D147" s="34"/>
      <c r="E147" s="34"/>
      <c r="F147" s="34"/>
      <c r="G147" s="34"/>
      <c r="H147" s="34"/>
      <c r="I147" s="34"/>
      <c r="J147" s="34"/>
      <c r="K147" s="34"/>
      <c r="L147" s="34"/>
      <c r="M147" s="34"/>
      <c r="N147" s="34"/>
      <c r="O147" s="34"/>
      <c r="P147" s="34"/>
      <c r="Q147" s="34"/>
      <c r="R147" s="34"/>
      <c r="S147" s="34"/>
      <c r="T147" s="34"/>
      <c r="U147" s="34"/>
    </row>
    <row r="148" spans="2:21" x14ac:dyDescent="0.45">
      <c r="B148" s="39"/>
      <c r="C148" s="34"/>
      <c r="D148" s="34"/>
      <c r="E148" s="34"/>
      <c r="F148" s="34"/>
      <c r="G148" s="34"/>
      <c r="H148" s="34"/>
      <c r="I148" s="34"/>
      <c r="J148" s="34"/>
      <c r="K148" s="34"/>
      <c r="L148" s="34"/>
      <c r="M148" s="34"/>
      <c r="N148" s="34"/>
      <c r="O148" s="34"/>
      <c r="P148" s="34"/>
      <c r="Q148" s="34"/>
      <c r="R148" s="34"/>
      <c r="S148" s="34"/>
      <c r="T148" s="34"/>
      <c r="U148" s="34"/>
    </row>
    <row r="149" spans="2:21" x14ac:dyDescent="0.45">
      <c r="B149" s="39"/>
      <c r="C149" s="34"/>
      <c r="D149" s="34"/>
      <c r="E149" s="34"/>
      <c r="F149" s="34"/>
      <c r="G149" s="34"/>
      <c r="H149" s="34"/>
      <c r="I149" s="34"/>
      <c r="J149" s="34"/>
      <c r="K149" s="34"/>
      <c r="L149" s="34"/>
      <c r="M149" s="34"/>
      <c r="N149" s="34"/>
      <c r="O149" s="34"/>
      <c r="P149" s="34"/>
      <c r="Q149" s="34"/>
      <c r="R149" s="34"/>
      <c r="S149" s="34"/>
      <c r="T149" s="34"/>
      <c r="U149" s="34"/>
    </row>
    <row r="150" spans="2:21" x14ac:dyDescent="0.45">
      <c r="B150" s="39"/>
      <c r="C150" s="34"/>
      <c r="D150" s="34"/>
      <c r="E150" s="34"/>
      <c r="F150" s="34"/>
      <c r="G150" s="34"/>
      <c r="H150" s="34"/>
      <c r="I150" s="34"/>
      <c r="J150" s="34"/>
      <c r="K150" s="34"/>
      <c r="L150" s="34"/>
      <c r="M150" s="34"/>
      <c r="N150" s="34"/>
      <c r="O150" s="34"/>
      <c r="P150" s="34"/>
      <c r="Q150" s="34"/>
      <c r="R150" s="34"/>
      <c r="S150" s="34"/>
      <c r="T150" s="34"/>
      <c r="U150" s="34"/>
    </row>
    <row r="151" spans="2:21" x14ac:dyDescent="0.45">
      <c r="B151" s="39"/>
      <c r="C151" s="34"/>
      <c r="D151" s="34"/>
      <c r="E151" s="34"/>
      <c r="F151" s="34"/>
      <c r="G151" s="34"/>
      <c r="H151" s="34"/>
      <c r="I151" s="34"/>
      <c r="J151" s="34"/>
      <c r="K151" s="34"/>
      <c r="L151" s="34"/>
      <c r="M151" s="34"/>
      <c r="N151" s="34"/>
      <c r="O151" s="34"/>
      <c r="P151" s="34"/>
      <c r="Q151" s="34"/>
      <c r="R151" s="34"/>
      <c r="S151" s="34"/>
      <c r="T151" s="34"/>
      <c r="U151" s="34"/>
    </row>
    <row r="152" spans="2:21" x14ac:dyDescent="0.45">
      <c r="B152" s="39"/>
      <c r="C152" s="34"/>
      <c r="D152" s="34"/>
      <c r="E152" s="34"/>
      <c r="F152" s="34"/>
      <c r="G152" s="34"/>
      <c r="H152" s="34"/>
      <c r="I152" s="34"/>
      <c r="J152" s="34"/>
      <c r="K152" s="34"/>
      <c r="L152" s="34"/>
      <c r="M152" s="34"/>
      <c r="N152" s="34"/>
      <c r="O152" s="34"/>
      <c r="P152" s="34"/>
      <c r="Q152" s="34"/>
      <c r="R152" s="34"/>
      <c r="S152" s="34"/>
      <c r="T152" s="34"/>
      <c r="U152" s="34"/>
    </row>
    <row r="153" spans="2:21" x14ac:dyDescent="0.45">
      <c r="B153" s="39"/>
      <c r="C153" s="34"/>
      <c r="D153" s="34"/>
      <c r="E153" s="34"/>
      <c r="F153" s="34"/>
      <c r="G153" s="34"/>
      <c r="H153" s="34"/>
      <c r="I153" s="34"/>
      <c r="J153" s="34"/>
      <c r="K153" s="34"/>
      <c r="L153" s="34"/>
      <c r="M153" s="34"/>
      <c r="N153" s="34"/>
      <c r="O153" s="34"/>
      <c r="P153" s="34"/>
      <c r="Q153" s="34"/>
      <c r="R153" s="34"/>
      <c r="S153" s="34"/>
      <c r="T153" s="34"/>
      <c r="U153" s="34"/>
    </row>
    <row r="154" spans="2:21" x14ac:dyDescent="0.45">
      <c r="B154" s="39"/>
      <c r="C154" s="34"/>
      <c r="D154" s="34"/>
      <c r="E154" s="34"/>
      <c r="F154" s="34"/>
      <c r="G154" s="34"/>
      <c r="H154" s="34"/>
      <c r="I154" s="34"/>
      <c r="J154" s="34"/>
      <c r="K154" s="34"/>
      <c r="L154" s="34"/>
      <c r="M154" s="34"/>
      <c r="N154" s="34"/>
      <c r="O154" s="34"/>
      <c r="P154" s="34"/>
      <c r="Q154" s="34"/>
      <c r="R154" s="34"/>
      <c r="S154" s="34"/>
      <c r="T154" s="34"/>
      <c r="U154" s="34"/>
    </row>
    <row r="155" spans="2:21" x14ac:dyDescent="0.45">
      <c r="B155" s="39"/>
      <c r="C155" s="34"/>
      <c r="D155" s="34"/>
      <c r="E155" s="34"/>
      <c r="F155" s="34"/>
      <c r="G155" s="34"/>
      <c r="H155" s="34"/>
      <c r="I155" s="34"/>
      <c r="J155" s="34"/>
      <c r="K155" s="34"/>
      <c r="L155" s="34"/>
      <c r="M155" s="34"/>
      <c r="N155" s="34"/>
      <c r="O155" s="34"/>
      <c r="P155" s="34"/>
      <c r="Q155" s="34"/>
      <c r="R155" s="34"/>
      <c r="S155" s="34"/>
      <c r="T155" s="34"/>
      <c r="U155" s="34"/>
    </row>
    <row r="156" spans="2:21" x14ac:dyDescent="0.45">
      <c r="B156" s="39"/>
      <c r="C156" s="34"/>
      <c r="D156" s="34"/>
      <c r="E156" s="34"/>
      <c r="F156" s="34"/>
      <c r="G156" s="34"/>
      <c r="H156" s="34"/>
      <c r="I156" s="34"/>
      <c r="J156" s="34"/>
      <c r="K156" s="34"/>
      <c r="L156" s="34"/>
      <c r="M156" s="34"/>
      <c r="N156" s="34"/>
      <c r="O156" s="34"/>
      <c r="P156" s="34"/>
      <c r="Q156" s="34"/>
      <c r="R156" s="34"/>
      <c r="S156" s="34"/>
      <c r="T156" s="34"/>
      <c r="U156" s="34"/>
    </row>
    <row r="157" spans="2:21" x14ac:dyDescent="0.45">
      <c r="B157" s="39"/>
      <c r="C157" s="34"/>
      <c r="D157" s="34"/>
      <c r="E157" s="34"/>
      <c r="F157" s="34"/>
      <c r="G157" s="34"/>
      <c r="H157" s="34"/>
      <c r="I157" s="34"/>
      <c r="J157" s="34"/>
      <c r="K157" s="34"/>
      <c r="L157" s="34"/>
      <c r="M157" s="34"/>
      <c r="N157" s="34"/>
      <c r="O157" s="34"/>
      <c r="P157" s="34"/>
      <c r="Q157" s="34"/>
      <c r="R157" s="34"/>
      <c r="S157" s="34"/>
      <c r="T157" s="34"/>
      <c r="U157" s="34"/>
    </row>
    <row r="158" spans="2:21" x14ac:dyDescent="0.45">
      <c r="B158" s="39"/>
      <c r="C158" s="34"/>
      <c r="D158" s="34"/>
      <c r="E158" s="34"/>
      <c r="F158" s="34"/>
      <c r="G158" s="34"/>
      <c r="H158" s="34"/>
      <c r="I158" s="34"/>
      <c r="J158" s="34"/>
      <c r="K158" s="34"/>
      <c r="L158" s="34"/>
      <c r="M158" s="34"/>
      <c r="N158" s="34"/>
      <c r="O158" s="34"/>
      <c r="P158" s="34"/>
      <c r="Q158" s="34"/>
      <c r="R158" s="34"/>
      <c r="S158" s="34"/>
      <c r="T158" s="34"/>
      <c r="U158" s="34"/>
    </row>
    <row r="159" spans="2:21" x14ac:dyDescent="0.45">
      <c r="B159" s="39"/>
      <c r="C159" s="34"/>
      <c r="D159" s="34"/>
      <c r="E159" s="34"/>
      <c r="F159" s="34"/>
      <c r="G159" s="34"/>
      <c r="H159" s="34"/>
      <c r="I159" s="34"/>
      <c r="J159" s="34"/>
      <c r="K159" s="34"/>
      <c r="L159" s="34"/>
      <c r="M159" s="34"/>
      <c r="N159" s="34"/>
      <c r="O159" s="34"/>
      <c r="P159" s="34"/>
      <c r="Q159" s="34"/>
      <c r="R159" s="34"/>
      <c r="S159" s="34"/>
      <c r="T159" s="34"/>
      <c r="U159" s="34"/>
    </row>
    <row r="160" spans="2:21" x14ac:dyDescent="0.45">
      <c r="B160" s="39"/>
      <c r="C160" s="34"/>
      <c r="D160" s="34"/>
      <c r="E160" s="34"/>
      <c r="F160" s="34"/>
      <c r="G160" s="34"/>
      <c r="H160" s="34"/>
      <c r="I160" s="34"/>
      <c r="J160" s="34"/>
      <c r="K160" s="34"/>
      <c r="L160" s="34"/>
      <c r="M160" s="34"/>
      <c r="N160" s="34"/>
      <c r="O160" s="34"/>
      <c r="P160" s="34"/>
      <c r="Q160" s="34"/>
      <c r="R160" s="34"/>
      <c r="S160" s="34"/>
      <c r="T160" s="34"/>
      <c r="U160" s="34"/>
    </row>
    <row r="161" spans="2:21" x14ac:dyDescent="0.45">
      <c r="B161" s="39"/>
      <c r="C161" s="34"/>
      <c r="D161" s="34"/>
      <c r="E161" s="34"/>
      <c r="F161" s="34"/>
      <c r="G161" s="34"/>
      <c r="H161" s="34"/>
      <c r="I161" s="34"/>
      <c r="J161" s="34"/>
      <c r="K161" s="34"/>
      <c r="L161" s="34"/>
      <c r="M161" s="34"/>
      <c r="N161" s="34"/>
      <c r="O161" s="34"/>
      <c r="P161" s="34"/>
      <c r="Q161" s="34"/>
      <c r="R161" s="34"/>
      <c r="S161" s="34"/>
      <c r="T161" s="34"/>
      <c r="U161" s="34"/>
    </row>
    <row r="162" spans="2:21" x14ac:dyDescent="0.45">
      <c r="B162" s="39"/>
      <c r="C162" s="34"/>
      <c r="D162" s="34"/>
      <c r="E162" s="34"/>
      <c r="F162" s="34"/>
      <c r="G162" s="34"/>
      <c r="H162" s="34"/>
      <c r="I162" s="34"/>
      <c r="J162" s="34"/>
      <c r="K162" s="34"/>
      <c r="L162" s="34"/>
      <c r="M162" s="34"/>
      <c r="N162" s="34"/>
      <c r="O162" s="34"/>
      <c r="P162" s="34"/>
      <c r="Q162" s="34"/>
      <c r="R162" s="34"/>
      <c r="S162" s="34"/>
      <c r="T162" s="34"/>
      <c r="U162" s="34"/>
    </row>
    <row r="163" spans="2:21" x14ac:dyDescent="0.45">
      <c r="B163" s="39"/>
      <c r="C163" s="34"/>
      <c r="D163" s="34"/>
      <c r="E163" s="34"/>
      <c r="F163" s="34"/>
      <c r="G163" s="34"/>
      <c r="H163" s="34"/>
      <c r="I163" s="34"/>
      <c r="J163" s="34"/>
      <c r="K163" s="34"/>
      <c r="L163" s="34"/>
      <c r="M163" s="34"/>
      <c r="N163" s="34"/>
      <c r="O163" s="34"/>
      <c r="P163" s="34"/>
      <c r="Q163" s="34"/>
      <c r="R163" s="34"/>
      <c r="S163" s="34"/>
      <c r="T163" s="34"/>
      <c r="U163" s="34"/>
    </row>
    <row r="164" spans="2:21" x14ac:dyDescent="0.45">
      <c r="B164" s="39"/>
      <c r="C164" s="34"/>
      <c r="D164" s="34"/>
      <c r="E164" s="34"/>
      <c r="F164" s="34"/>
      <c r="G164" s="34"/>
      <c r="H164" s="34"/>
      <c r="I164" s="34"/>
      <c r="J164" s="34"/>
      <c r="K164" s="34"/>
      <c r="L164" s="34"/>
      <c r="M164" s="34"/>
      <c r="N164" s="34"/>
      <c r="O164" s="34"/>
      <c r="P164" s="34"/>
      <c r="Q164" s="34"/>
      <c r="R164" s="34"/>
      <c r="S164" s="34"/>
      <c r="T164" s="34"/>
      <c r="U164" s="34"/>
    </row>
    <row r="165" spans="2:21" x14ac:dyDescent="0.45">
      <c r="B165" s="39"/>
      <c r="C165" s="34"/>
      <c r="D165" s="34"/>
      <c r="E165" s="34"/>
      <c r="F165" s="34"/>
      <c r="G165" s="34"/>
      <c r="H165" s="34"/>
      <c r="I165" s="34"/>
      <c r="J165" s="34"/>
      <c r="K165" s="34"/>
      <c r="L165" s="34"/>
      <c r="M165" s="34"/>
      <c r="N165" s="34"/>
      <c r="O165" s="34"/>
      <c r="P165" s="34"/>
      <c r="Q165" s="34"/>
      <c r="R165" s="34"/>
      <c r="S165" s="34"/>
      <c r="T165" s="34"/>
      <c r="U165" s="34"/>
    </row>
    <row r="166" spans="2:21" x14ac:dyDescent="0.45">
      <c r="B166" s="39"/>
      <c r="C166" s="34"/>
      <c r="D166" s="34"/>
      <c r="E166" s="34"/>
      <c r="F166" s="34"/>
      <c r="G166" s="34"/>
      <c r="H166" s="34"/>
      <c r="I166" s="34"/>
      <c r="J166" s="34"/>
      <c r="K166" s="34"/>
      <c r="L166" s="34"/>
      <c r="M166" s="34"/>
      <c r="N166" s="34"/>
      <c r="O166" s="34"/>
      <c r="P166" s="34"/>
      <c r="Q166" s="34"/>
      <c r="R166" s="34"/>
      <c r="S166" s="34"/>
      <c r="T166" s="34"/>
      <c r="U166" s="34"/>
    </row>
    <row r="167" spans="2:21" x14ac:dyDescent="0.45">
      <c r="B167" s="39"/>
      <c r="C167" s="34"/>
      <c r="D167" s="34"/>
      <c r="E167" s="34"/>
      <c r="F167" s="34"/>
      <c r="G167" s="34"/>
      <c r="H167" s="34"/>
      <c r="I167" s="34"/>
      <c r="J167" s="34"/>
      <c r="K167" s="34"/>
      <c r="L167" s="34"/>
      <c r="M167" s="34"/>
      <c r="N167" s="34"/>
      <c r="O167" s="34"/>
      <c r="P167" s="34"/>
      <c r="Q167" s="34"/>
      <c r="R167" s="34"/>
      <c r="S167" s="34"/>
      <c r="T167" s="34"/>
      <c r="U167" s="34"/>
    </row>
    <row r="168" spans="2:21" x14ac:dyDescent="0.45">
      <c r="B168" s="39"/>
      <c r="C168" s="34"/>
      <c r="D168" s="34"/>
      <c r="E168" s="34"/>
      <c r="F168" s="34"/>
      <c r="G168" s="34"/>
      <c r="H168" s="34"/>
      <c r="I168" s="34"/>
      <c r="J168" s="34"/>
      <c r="K168" s="34"/>
      <c r="L168" s="34"/>
      <c r="M168" s="34"/>
      <c r="N168" s="34"/>
      <c r="O168" s="34"/>
      <c r="P168" s="34"/>
      <c r="Q168" s="34"/>
      <c r="R168" s="34"/>
      <c r="S168" s="34"/>
      <c r="T168" s="34"/>
      <c r="U168" s="34"/>
    </row>
    <row r="169" spans="2:21" x14ac:dyDescent="0.45">
      <c r="B169" s="39"/>
      <c r="C169" s="34"/>
      <c r="D169" s="34"/>
      <c r="E169" s="34"/>
      <c r="F169" s="34"/>
      <c r="G169" s="34"/>
      <c r="H169" s="34"/>
      <c r="I169" s="34"/>
      <c r="J169" s="34"/>
      <c r="K169" s="34"/>
      <c r="L169" s="34"/>
      <c r="M169" s="34"/>
      <c r="N169" s="34"/>
      <c r="O169" s="34"/>
      <c r="P169" s="34"/>
      <c r="Q169" s="34"/>
      <c r="R169" s="34"/>
      <c r="S169" s="34"/>
      <c r="T169" s="34"/>
      <c r="U169" s="34"/>
    </row>
    <row r="170" spans="2:21" x14ac:dyDescent="0.45">
      <c r="B170" s="39"/>
      <c r="C170" s="34"/>
      <c r="D170" s="34"/>
      <c r="E170" s="34"/>
      <c r="F170" s="34"/>
      <c r="G170" s="34"/>
      <c r="H170" s="34"/>
      <c r="I170" s="34"/>
      <c r="J170" s="34"/>
      <c r="K170" s="34"/>
      <c r="L170" s="34"/>
      <c r="M170" s="34"/>
      <c r="N170" s="34"/>
      <c r="O170" s="34"/>
      <c r="P170" s="34"/>
      <c r="Q170" s="34"/>
      <c r="R170" s="34"/>
      <c r="S170" s="34"/>
      <c r="T170" s="34"/>
      <c r="U170" s="34"/>
    </row>
    <row r="171" spans="2:21" x14ac:dyDescent="0.45">
      <c r="B171" s="39"/>
      <c r="C171" s="34"/>
      <c r="D171" s="34"/>
      <c r="E171" s="34"/>
      <c r="F171" s="34"/>
      <c r="G171" s="34"/>
      <c r="H171" s="34"/>
      <c r="I171" s="34"/>
      <c r="J171" s="34"/>
      <c r="K171" s="34"/>
      <c r="L171" s="34"/>
      <c r="M171" s="34"/>
      <c r="N171" s="34"/>
      <c r="O171" s="34"/>
      <c r="P171" s="34"/>
      <c r="Q171" s="34"/>
      <c r="R171" s="34"/>
      <c r="S171" s="34"/>
      <c r="T171" s="34"/>
      <c r="U171" s="34"/>
    </row>
    <row r="172" spans="2:21" x14ac:dyDescent="0.45">
      <c r="B172" s="39"/>
      <c r="C172" s="34"/>
      <c r="D172" s="34"/>
      <c r="E172" s="34"/>
      <c r="F172" s="34"/>
      <c r="G172" s="34"/>
      <c r="H172" s="34"/>
      <c r="I172" s="34"/>
      <c r="J172" s="34"/>
      <c r="K172" s="34"/>
      <c r="L172" s="34"/>
      <c r="M172" s="34"/>
      <c r="N172" s="34"/>
      <c r="O172" s="34"/>
      <c r="P172" s="34"/>
      <c r="Q172" s="34"/>
      <c r="R172" s="34"/>
      <c r="S172" s="34"/>
      <c r="T172" s="34"/>
      <c r="U172" s="34"/>
    </row>
    <row r="173" spans="2:21" x14ac:dyDescent="0.45">
      <c r="B173" s="39"/>
      <c r="C173" s="34"/>
      <c r="D173" s="34"/>
      <c r="E173" s="34"/>
      <c r="F173" s="34"/>
      <c r="G173" s="34"/>
      <c r="H173" s="34"/>
      <c r="I173" s="34"/>
      <c r="J173" s="34"/>
      <c r="K173" s="34"/>
      <c r="L173" s="34"/>
      <c r="M173" s="34"/>
      <c r="N173" s="34"/>
      <c r="O173" s="34"/>
      <c r="P173" s="34"/>
      <c r="Q173" s="34"/>
      <c r="R173" s="34"/>
      <c r="S173" s="34"/>
      <c r="T173" s="34"/>
      <c r="U173" s="34"/>
    </row>
    <row r="174" spans="2:21" x14ac:dyDescent="0.45">
      <c r="B174" s="39"/>
      <c r="C174" s="34"/>
      <c r="D174" s="34"/>
      <c r="E174" s="34"/>
      <c r="F174" s="34"/>
      <c r="G174" s="34"/>
      <c r="H174" s="34"/>
      <c r="I174" s="34"/>
      <c r="J174" s="34"/>
      <c r="K174" s="34"/>
      <c r="L174" s="34"/>
      <c r="M174" s="34"/>
      <c r="N174" s="34"/>
      <c r="O174" s="34"/>
      <c r="P174" s="34"/>
      <c r="Q174" s="34"/>
      <c r="R174" s="34"/>
      <c r="S174" s="34"/>
      <c r="T174" s="34"/>
      <c r="U174" s="34"/>
    </row>
    <row r="175" spans="2:21" x14ac:dyDescent="0.45">
      <c r="B175" s="39"/>
      <c r="C175" s="34"/>
      <c r="D175" s="34"/>
      <c r="E175" s="34"/>
      <c r="F175" s="34"/>
      <c r="G175" s="34"/>
      <c r="H175" s="34"/>
      <c r="I175" s="34"/>
      <c r="J175" s="34"/>
      <c r="K175" s="34"/>
      <c r="L175" s="34"/>
      <c r="M175" s="34"/>
      <c r="N175" s="34"/>
      <c r="O175" s="34"/>
      <c r="P175" s="34"/>
      <c r="Q175" s="34"/>
      <c r="R175" s="34"/>
      <c r="S175" s="34"/>
      <c r="T175" s="34"/>
      <c r="U175" s="34"/>
    </row>
    <row r="176" spans="2:21" x14ac:dyDescent="0.45">
      <c r="B176" s="39"/>
      <c r="C176" s="34"/>
      <c r="D176" s="34"/>
      <c r="E176" s="34"/>
      <c r="F176" s="34"/>
      <c r="G176" s="34"/>
      <c r="H176" s="34"/>
      <c r="I176" s="34"/>
      <c r="J176" s="34"/>
      <c r="K176" s="34"/>
      <c r="L176" s="34"/>
      <c r="M176" s="34"/>
      <c r="N176" s="34"/>
      <c r="O176" s="34"/>
      <c r="P176" s="34"/>
      <c r="Q176" s="34"/>
      <c r="R176" s="34"/>
      <c r="S176" s="34"/>
      <c r="T176" s="34"/>
      <c r="U176" s="34"/>
    </row>
    <row r="177" spans="2:21" x14ac:dyDescent="0.45">
      <c r="B177" s="39"/>
      <c r="C177" s="34"/>
      <c r="D177" s="34"/>
      <c r="E177" s="34"/>
      <c r="F177" s="34"/>
      <c r="G177" s="34"/>
      <c r="H177" s="34"/>
      <c r="I177" s="34"/>
      <c r="J177" s="34"/>
      <c r="K177" s="34"/>
      <c r="L177" s="34"/>
      <c r="M177" s="34"/>
      <c r="N177" s="34"/>
      <c r="O177" s="34"/>
      <c r="P177" s="34"/>
      <c r="Q177" s="34"/>
      <c r="R177" s="34"/>
      <c r="S177" s="34"/>
      <c r="T177" s="34"/>
      <c r="U177" s="34"/>
    </row>
    <row r="178" spans="2:21" x14ac:dyDescent="0.45">
      <c r="B178" s="39"/>
      <c r="C178" s="34"/>
      <c r="D178" s="34"/>
      <c r="E178" s="34"/>
      <c r="F178" s="34"/>
      <c r="G178" s="34"/>
      <c r="H178" s="34"/>
      <c r="I178" s="34"/>
      <c r="J178" s="34"/>
      <c r="K178" s="34"/>
      <c r="L178" s="34"/>
      <c r="M178" s="34"/>
      <c r="N178" s="34"/>
      <c r="O178" s="34"/>
      <c r="P178" s="34"/>
      <c r="Q178" s="34"/>
      <c r="R178" s="34"/>
      <c r="S178" s="34"/>
      <c r="T178" s="34"/>
      <c r="U178" s="34"/>
    </row>
    <row r="179" spans="2:21" x14ac:dyDescent="0.45">
      <c r="B179" s="39"/>
      <c r="C179" s="34"/>
      <c r="D179" s="34"/>
      <c r="E179" s="34"/>
      <c r="F179" s="34"/>
      <c r="G179" s="34"/>
      <c r="H179" s="34"/>
      <c r="I179" s="34"/>
      <c r="J179" s="34"/>
      <c r="K179" s="34"/>
      <c r="L179" s="34"/>
      <c r="M179" s="34"/>
      <c r="N179" s="34"/>
      <c r="O179" s="34"/>
      <c r="P179" s="34"/>
      <c r="Q179" s="34"/>
      <c r="R179" s="34"/>
      <c r="S179" s="34"/>
      <c r="T179" s="34"/>
      <c r="U179" s="34"/>
    </row>
    <row r="180" spans="2:21" x14ac:dyDescent="0.45">
      <c r="B180" s="39"/>
      <c r="C180" s="34"/>
      <c r="D180" s="34"/>
      <c r="E180" s="34"/>
      <c r="F180" s="34"/>
      <c r="G180" s="34"/>
      <c r="H180" s="34"/>
      <c r="I180" s="34"/>
      <c r="J180" s="34"/>
      <c r="K180" s="34"/>
      <c r="L180" s="34"/>
      <c r="M180" s="34"/>
      <c r="N180" s="34"/>
      <c r="O180" s="34"/>
      <c r="P180" s="34"/>
      <c r="Q180" s="34"/>
      <c r="R180" s="34"/>
      <c r="S180" s="34"/>
      <c r="T180" s="34"/>
      <c r="U180" s="34"/>
    </row>
    <row r="181" spans="2:21" x14ac:dyDescent="0.45">
      <c r="B181" s="39"/>
      <c r="C181" s="34"/>
      <c r="D181" s="34"/>
      <c r="E181" s="34"/>
      <c r="F181" s="34"/>
      <c r="G181" s="34"/>
      <c r="H181" s="34"/>
      <c r="I181" s="34"/>
      <c r="J181" s="34"/>
      <c r="K181" s="34"/>
      <c r="L181" s="34"/>
      <c r="M181" s="34"/>
      <c r="N181" s="34"/>
      <c r="O181" s="34"/>
      <c r="P181" s="34"/>
      <c r="Q181" s="34"/>
      <c r="R181" s="34"/>
      <c r="S181" s="34"/>
      <c r="T181" s="34"/>
      <c r="U181" s="34"/>
    </row>
    <row r="182" spans="2:21" x14ac:dyDescent="0.45">
      <c r="B182" s="39"/>
      <c r="C182" s="34"/>
      <c r="D182" s="34"/>
      <c r="E182" s="34"/>
      <c r="F182" s="34"/>
      <c r="G182" s="34"/>
      <c r="H182" s="34"/>
      <c r="I182" s="34"/>
      <c r="J182" s="34"/>
      <c r="K182" s="34"/>
      <c r="L182" s="34"/>
      <c r="M182" s="34"/>
      <c r="N182" s="34"/>
      <c r="O182" s="34"/>
      <c r="P182" s="34"/>
      <c r="Q182" s="34"/>
      <c r="R182" s="34"/>
      <c r="S182" s="34"/>
      <c r="T182" s="34"/>
      <c r="U182" s="34"/>
    </row>
    <row r="183" spans="2:21" x14ac:dyDescent="0.45">
      <c r="B183" s="39"/>
      <c r="C183" s="34"/>
      <c r="D183" s="34"/>
      <c r="E183" s="34"/>
      <c r="F183" s="34"/>
      <c r="G183" s="34"/>
      <c r="H183" s="34"/>
      <c r="I183" s="34"/>
      <c r="J183" s="34"/>
      <c r="K183" s="34"/>
      <c r="L183" s="34"/>
      <c r="M183" s="34"/>
      <c r="N183" s="34"/>
      <c r="O183" s="34"/>
      <c r="P183" s="34"/>
      <c r="Q183" s="34"/>
      <c r="R183" s="34"/>
      <c r="S183" s="34"/>
      <c r="T183" s="34"/>
      <c r="U183" s="34"/>
    </row>
    <row r="184" spans="2:21" x14ac:dyDescent="0.45">
      <c r="B184" s="39"/>
      <c r="C184" s="34"/>
      <c r="D184" s="34"/>
      <c r="E184" s="34"/>
      <c r="F184" s="34"/>
      <c r="G184" s="34"/>
      <c r="H184" s="34"/>
      <c r="I184" s="34"/>
      <c r="J184" s="34"/>
      <c r="K184" s="34"/>
      <c r="L184" s="34"/>
      <c r="M184" s="34"/>
      <c r="N184" s="34"/>
      <c r="O184" s="34"/>
      <c r="P184" s="34"/>
      <c r="Q184" s="34"/>
      <c r="R184" s="34"/>
      <c r="S184" s="34"/>
      <c r="T184" s="34"/>
      <c r="U184" s="34"/>
    </row>
    <row r="185" spans="2:21" x14ac:dyDescent="0.45">
      <c r="B185" s="39"/>
      <c r="C185" s="34"/>
      <c r="D185" s="34"/>
      <c r="E185" s="34"/>
      <c r="F185" s="34"/>
      <c r="G185" s="34"/>
      <c r="H185" s="34"/>
      <c r="I185" s="34"/>
      <c r="J185" s="34"/>
      <c r="K185" s="34"/>
      <c r="L185" s="34"/>
      <c r="M185" s="34"/>
      <c r="N185" s="34"/>
      <c r="O185" s="34"/>
      <c r="P185" s="34"/>
      <c r="Q185" s="34"/>
      <c r="R185" s="34"/>
      <c r="S185" s="34"/>
      <c r="T185" s="34"/>
      <c r="U185" s="34"/>
    </row>
    <row r="186" spans="2:21" x14ac:dyDescent="0.45">
      <c r="B186" s="39"/>
      <c r="C186" s="34"/>
      <c r="D186" s="34"/>
      <c r="E186" s="34"/>
      <c r="F186" s="34"/>
      <c r="G186" s="34"/>
      <c r="H186" s="34"/>
      <c r="I186" s="34"/>
      <c r="J186" s="34"/>
      <c r="K186" s="34"/>
      <c r="L186" s="34"/>
      <c r="M186" s="34"/>
      <c r="N186" s="34"/>
      <c r="O186" s="34"/>
      <c r="P186" s="34"/>
      <c r="Q186" s="34"/>
      <c r="R186" s="34"/>
      <c r="S186" s="34"/>
      <c r="T186" s="34"/>
      <c r="U186" s="34"/>
    </row>
    <row r="187" spans="2:21" x14ac:dyDescent="0.45">
      <c r="B187" s="39"/>
      <c r="C187" s="34"/>
      <c r="D187" s="34"/>
      <c r="E187" s="34"/>
      <c r="F187" s="34"/>
      <c r="G187" s="34"/>
      <c r="H187" s="34"/>
      <c r="I187" s="34"/>
      <c r="J187" s="34"/>
      <c r="K187" s="34"/>
      <c r="L187" s="34"/>
      <c r="M187" s="34"/>
      <c r="N187" s="34"/>
      <c r="O187" s="34"/>
      <c r="P187" s="34"/>
      <c r="Q187" s="34"/>
      <c r="R187" s="34"/>
      <c r="S187" s="34"/>
      <c r="T187" s="34"/>
      <c r="U187" s="34"/>
    </row>
    <row r="188" spans="2:21" x14ac:dyDescent="0.45">
      <c r="B188" s="39"/>
      <c r="C188" s="34"/>
      <c r="D188" s="34"/>
      <c r="E188" s="34"/>
      <c r="F188" s="34"/>
      <c r="G188" s="34"/>
      <c r="H188" s="34"/>
      <c r="I188" s="34"/>
      <c r="J188" s="34"/>
      <c r="K188" s="34"/>
      <c r="L188" s="34"/>
      <c r="M188" s="34"/>
      <c r="N188" s="34"/>
      <c r="O188" s="34"/>
      <c r="P188" s="34"/>
      <c r="Q188" s="34"/>
      <c r="R188" s="34"/>
      <c r="S188" s="34"/>
      <c r="T188" s="34"/>
      <c r="U188" s="34"/>
    </row>
    <row r="189" spans="2:21" x14ac:dyDescent="0.45">
      <c r="B189" s="39"/>
      <c r="C189" s="34"/>
      <c r="D189" s="34"/>
      <c r="E189" s="34"/>
      <c r="F189" s="34"/>
      <c r="G189" s="34"/>
      <c r="H189" s="34"/>
      <c r="I189" s="34"/>
      <c r="J189" s="34"/>
      <c r="K189" s="34"/>
      <c r="L189" s="34"/>
      <c r="M189" s="34"/>
      <c r="N189" s="34"/>
      <c r="O189" s="34"/>
      <c r="P189" s="34"/>
      <c r="Q189" s="34"/>
      <c r="R189" s="34"/>
      <c r="S189" s="34"/>
      <c r="T189" s="34"/>
      <c r="U189" s="34"/>
    </row>
    <row r="190" spans="2:21" x14ac:dyDescent="0.45">
      <c r="B190" s="39"/>
      <c r="C190" s="34"/>
      <c r="D190" s="34"/>
      <c r="E190" s="34"/>
      <c r="F190" s="34"/>
      <c r="G190" s="34"/>
      <c r="H190" s="34"/>
      <c r="I190" s="34"/>
      <c r="J190" s="34"/>
      <c r="K190" s="34"/>
      <c r="L190" s="34"/>
      <c r="M190" s="34"/>
      <c r="N190" s="34"/>
      <c r="O190" s="34"/>
      <c r="P190" s="34"/>
      <c r="Q190" s="34"/>
      <c r="R190" s="34"/>
      <c r="S190" s="34"/>
      <c r="T190" s="34"/>
      <c r="U190" s="34"/>
    </row>
    <row r="191" spans="2:21" x14ac:dyDescent="0.45">
      <c r="B191" s="39"/>
      <c r="C191" s="34"/>
      <c r="D191" s="34"/>
      <c r="E191" s="34"/>
      <c r="F191" s="34"/>
      <c r="G191" s="34"/>
      <c r="H191" s="34"/>
      <c r="I191" s="34"/>
      <c r="J191" s="34"/>
      <c r="K191" s="34"/>
      <c r="L191" s="34"/>
      <c r="M191" s="34"/>
      <c r="N191" s="34"/>
      <c r="O191" s="34"/>
      <c r="P191" s="34"/>
      <c r="Q191" s="34"/>
      <c r="R191" s="34"/>
      <c r="S191" s="34"/>
      <c r="T191" s="34"/>
      <c r="U191" s="34"/>
    </row>
    <row r="192" spans="2:21" x14ac:dyDescent="0.45">
      <c r="B192" s="39"/>
      <c r="C192" s="34"/>
      <c r="D192" s="34"/>
      <c r="E192" s="34"/>
      <c r="F192" s="34"/>
      <c r="G192" s="34"/>
      <c r="H192" s="34"/>
      <c r="I192" s="34"/>
      <c r="J192" s="34"/>
      <c r="K192" s="34"/>
      <c r="L192" s="34"/>
      <c r="M192" s="34"/>
      <c r="N192" s="34"/>
      <c r="O192" s="34"/>
      <c r="P192" s="34"/>
      <c r="Q192" s="34"/>
      <c r="R192" s="34"/>
      <c r="S192" s="34"/>
      <c r="T192" s="34"/>
      <c r="U192" s="34"/>
    </row>
    <row r="193" spans="2:21" x14ac:dyDescent="0.45">
      <c r="B193" s="39"/>
      <c r="C193" s="34"/>
      <c r="D193" s="34"/>
      <c r="E193" s="34"/>
      <c r="F193" s="34"/>
      <c r="G193" s="34"/>
      <c r="H193" s="34"/>
      <c r="I193" s="34"/>
      <c r="J193" s="34"/>
      <c r="K193" s="34"/>
      <c r="L193" s="34"/>
      <c r="M193" s="34"/>
      <c r="N193" s="34"/>
      <c r="O193" s="34"/>
      <c r="P193" s="34"/>
      <c r="Q193" s="34"/>
      <c r="R193" s="34"/>
      <c r="S193" s="34"/>
      <c r="T193" s="34"/>
      <c r="U193" s="34"/>
    </row>
    <row r="194" spans="2:21" x14ac:dyDescent="0.45">
      <c r="B194" s="39"/>
      <c r="C194" s="34"/>
      <c r="D194" s="34"/>
      <c r="E194" s="34"/>
      <c r="F194" s="34"/>
      <c r="G194" s="34"/>
      <c r="H194" s="34"/>
      <c r="I194" s="34"/>
      <c r="J194" s="34"/>
      <c r="K194" s="34"/>
      <c r="L194" s="34"/>
      <c r="M194" s="34"/>
      <c r="N194" s="34"/>
      <c r="O194" s="34"/>
      <c r="P194" s="34"/>
      <c r="Q194" s="34"/>
      <c r="R194" s="34"/>
      <c r="S194" s="34"/>
      <c r="T194" s="34"/>
      <c r="U194" s="34"/>
    </row>
  </sheetData>
  <hyperlinks>
    <hyperlink ref="B13" r:id="rId1" xr:uid="{00000000-0004-0000-0100-000000000000}"/>
    <hyperlink ref="B16" r:id="rId2" display="These data tables accompany the NPaCA State of the Nation report published in September 2024. See the &quot;Reports&quot; section of our web page for a copy of the report." xr:uid="{00000000-0004-0000-0100-000001000000}"/>
    <hyperlink ref="B35" r:id="rId3" xr:uid="{00000000-0004-0000-0100-000002000000}"/>
    <hyperlink ref="B39" r:id="rId4" display="It should be noted that these provider-specific results are affected by varying levels of data completeness and quality and random variation (i.e., the “role of chance”). NPaCA has adopted the NATCAN outlier policy. If the performance of a provider for certain indicators falls outside a pre-specified defined range it will be flagged as an outlier." xr:uid="{E349E875-9E9F-401F-9ACA-50180A689105}"/>
  </hyperlinks>
  <pageMargins left="0.7" right="0.7" top="0.75" bottom="0.75" header="0.3" footer="0.3"/>
  <pageSetup paperSize="9"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239"/>
  <sheetViews>
    <sheetView workbookViewId="0">
      <pane ySplit="10" topLeftCell="A11" activePane="bottomLeft" state="frozen"/>
      <selection pane="bottomLeft" activeCell="E10" sqref="E10"/>
    </sheetView>
  </sheetViews>
  <sheetFormatPr defaultRowHeight="14.25" x14ac:dyDescent="0.45"/>
  <cols>
    <col min="1" max="1" width="9.265625" customWidth="1"/>
    <col min="2" max="2" width="44.265625" customWidth="1"/>
    <col min="3" max="3" width="14.265625" customWidth="1"/>
    <col min="4" max="4" width="57.265625" customWidth="1"/>
    <col min="5" max="5" width="16" customWidth="1"/>
    <col min="6" max="6" width="11.73046875" customWidth="1"/>
    <col min="7" max="7" width="14" customWidth="1"/>
    <col min="8" max="8" width="13.265625" customWidth="1"/>
  </cols>
  <sheetData>
    <row r="1" spans="1:41" x14ac:dyDescent="0.45">
      <c r="A1" s="42"/>
    </row>
    <row r="2" spans="1:41" ht="21" x14ac:dyDescent="0.65">
      <c r="A2" s="6" t="s">
        <v>393</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row>
    <row r="3" spans="1:41" x14ac:dyDescent="0.45">
      <c r="A3" s="7"/>
      <c r="B3" s="7" t="s">
        <v>285</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row>
    <row r="4" spans="1:41" x14ac:dyDescent="0.45">
      <c r="A4" s="7"/>
      <c r="B4" s="7" t="s">
        <v>286</v>
      </c>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row>
    <row r="5" spans="1:41" x14ac:dyDescent="0.45">
      <c r="A5" s="7"/>
      <c r="B5" s="7" t="s">
        <v>287</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row>
    <row r="6" spans="1:41" x14ac:dyDescent="0.45">
      <c r="A6" s="7"/>
      <c r="B6" s="7" t="s">
        <v>660</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row>
    <row r="7" spans="1:41" x14ac:dyDescent="0.4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row>
    <row r="8" spans="1:41" s="8" customFormat="1" ht="14.25" customHeight="1" x14ac:dyDescent="0.45">
      <c r="F8" s="94" t="s">
        <v>8</v>
      </c>
      <c r="G8" s="94"/>
      <c r="H8" s="94"/>
    </row>
    <row r="9" spans="1:41" s="13" customFormat="1" ht="42.75" x14ac:dyDescent="0.45">
      <c r="A9" s="3" t="s">
        <v>284</v>
      </c>
      <c r="B9" s="3" t="s">
        <v>0</v>
      </c>
      <c r="C9" s="12" t="s">
        <v>2</v>
      </c>
      <c r="D9" s="12" t="s">
        <v>3</v>
      </c>
      <c r="E9" s="12" t="s">
        <v>283</v>
      </c>
      <c r="F9" s="12" t="s">
        <v>5</v>
      </c>
      <c r="G9" s="12" t="s">
        <v>6</v>
      </c>
      <c r="H9" s="12" t="s">
        <v>7</v>
      </c>
    </row>
    <row r="10" spans="1:41" s="8" customFormat="1" x14ac:dyDescent="0.45">
      <c r="A10" s="8" t="s">
        <v>394</v>
      </c>
      <c r="B10" s="95" t="s">
        <v>288</v>
      </c>
      <c r="C10" s="95"/>
      <c r="D10" s="95"/>
      <c r="E10" s="106">
        <v>17328</v>
      </c>
      <c r="F10" s="44">
        <v>0.72</v>
      </c>
      <c r="G10" s="44">
        <v>0.54</v>
      </c>
      <c r="H10" s="44">
        <v>0.52</v>
      </c>
    </row>
    <row r="11" spans="1:41" s="7" customFormat="1" x14ac:dyDescent="0.45">
      <c r="A11" s="7" t="s">
        <v>394</v>
      </c>
      <c r="B11" s="7" t="str">
        <f>VLOOKUP(C11,'Organisation names'!$B$4:$D$130,3,FALSE)</f>
        <v>Greater Manchester</v>
      </c>
      <c r="C11" s="69" t="s">
        <v>9</v>
      </c>
      <c r="D11" s="7" t="str">
        <f>VLOOKUP(C11,'Organisation names'!$B$4:$D$130,2,FALSE)</f>
        <v>Manchester University NHS Foundation Trust</v>
      </c>
      <c r="E11" s="70">
        <v>237</v>
      </c>
      <c r="F11" s="21">
        <v>0.71729958057403564</v>
      </c>
      <c r="G11" s="21">
        <v>0.52320677042007446</v>
      </c>
      <c r="H11" s="21">
        <v>0.18143460154533389</v>
      </c>
      <c r="L11" s="71"/>
    </row>
    <row r="12" spans="1:41" s="7" customFormat="1" x14ac:dyDescent="0.45">
      <c r="A12" s="7" t="s">
        <v>394</v>
      </c>
      <c r="B12" s="7" t="str">
        <f>VLOOKUP(C12,'Organisation names'!$B$4:$D$130,3,FALSE)</f>
        <v>Northern</v>
      </c>
      <c r="C12" s="69" t="s">
        <v>10</v>
      </c>
      <c r="D12" s="7" t="str">
        <f>VLOOKUP(C12,'Organisation names'!$B$4:$D$130,2,FALSE)</f>
        <v>South Tyneside and Sunderland NHS Foundation Trust</v>
      </c>
      <c r="E12" s="70">
        <v>149</v>
      </c>
      <c r="F12" s="21">
        <v>0.64429527521133423</v>
      </c>
      <c r="G12" s="21">
        <v>0.53691273927688599</v>
      </c>
      <c r="H12" s="21">
        <v>0.67114096879959106</v>
      </c>
      <c r="L12" s="71"/>
    </row>
    <row r="13" spans="1:41" s="7" customFormat="1" x14ac:dyDescent="0.45">
      <c r="A13" s="7" t="s">
        <v>394</v>
      </c>
      <c r="B13" s="7" t="str">
        <f>VLOOKUP(C13,'Organisation names'!$B$4:$D$130,3,FALSE)</f>
        <v>Wessex</v>
      </c>
      <c r="C13" s="69" t="s">
        <v>11</v>
      </c>
      <c r="D13" s="7" t="str">
        <f>VLOOKUP(C13,'Organisation names'!$B$4:$D$130,2,FALSE)</f>
        <v>University Hospitals Dorset NHS Foundation Trust</v>
      </c>
      <c r="E13" s="70">
        <v>260</v>
      </c>
      <c r="F13" s="21">
        <v>0.94999998807907104</v>
      </c>
      <c r="G13" s="21">
        <v>0.68076920509338379</v>
      </c>
      <c r="H13" s="21">
        <v>0.3115384578704834</v>
      </c>
      <c r="L13" s="71"/>
    </row>
    <row r="14" spans="1:41" s="7" customFormat="1" x14ac:dyDescent="0.45">
      <c r="A14" s="7" t="s">
        <v>394</v>
      </c>
      <c r="B14" s="7" t="str">
        <f>VLOOKUP(C14,'Organisation names'!$B$4:$D$130,3,FALSE)</f>
        <v>Wessex</v>
      </c>
      <c r="C14" s="69" t="s">
        <v>12</v>
      </c>
      <c r="D14" s="7" t="str">
        <f>VLOOKUP(C14,'Organisation names'!$B$4:$D$130,2,FALSE)</f>
        <v>Isle Of Wight NHS Trust</v>
      </c>
      <c r="E14" s="70">
        <v>53</v>
      </c>
      <c r="F14" s="21">
        <v>0.88679248094558716</v>
      </c>
      <c r="G14" s="21">
        <v>0.83018869161605835</v>
      </c>
      <c r="H14" s="21">
        <v>0.77358490228652954</v>
      </c>
      <c r="L14" s="71"/>
    </row>
    <row r="15" spans="1:41" s="7" customFormat="1" x14ac:dyDescent="0.45">
      <c r="A15" s="7" t="s">
        <v>394</v>
      </c>
      <c r="B15" s="7" t="str">
        <f>VLOOKUP(C15,'Organisation names'!$B$4:$D$130,3,FALSE)</f>
        <v>North East London</v>
      </c>
      <c r="C15" s="69" t="s">
        <v>13</v>
      </c>
      <c r="D15" s="7" t="str">
        <f>VLOOKUP(C15,'Organisation names'!$B$4:$D$130,2,FALSE)</f>
        <v>Barts Health NHS Trust</v>
      </c>
      <c r="E15" s="70">
        <v>181</v>
      </c>
      <c r="F15" s="21">
        <v>0.77348065376281738</v>
      </c>
      <c r="G15" s="21">
        <v>4.9723755568265908E-2</v>
      </c>
      <c r="H15" s="21">
        <v>3.8674034178256989E-2</v>
      </c>
      <c r="L15" s="71"/>
    </row>
    <row r="16" spans="1:41" s="7" customFormat="1" x14ac:dyDescent="0.45">
      <c r="A16" s="7" t="s">
        <v>394</v>
      </c>
      <c r="B16" s="7" t="str">
        <f>VLOOKUP(C16,'Organisation names'!$B$4:$D$130,3,FALSE)</f>
        <v>RM Partners</v>
      </c>
      <c r="C16" s="69" t="s">
        <v>14</v>
      </c>
      <c r="D16" s="7" t="str">
        <f>VLOOKUP(C16,'Organisation names'!$B$4:$D$130,2,FALSE)</f>
        <v>London North West University Healthcare NHS Trust</v>
      </c>
      <c r="E16" s="70">
        <v>121</v>
      </c>
      <c r="F16" s="21">
        <v>0.51239669322967529</v>
      </c>
      <c r="G16" s="21">
        <v>0.42148759961128229</v>
      </c>
      <c r="H16" s="21">
        <v>0.62809920310974121</v>
      </c>
      <c r="L16" s="71"/>
    </row>
    <row r="17" spans="1:12" s="7" customFormat="1" x14ac:dyDescent="0.45">
      <c r="A17" s="7" t="s">
        <v>394</v>
      </c>
      <c r="B17" s="7" t="str">
        <f>VLOOKUP(C17,'Organisation names'!$B$4:$D$130,3,FALSE)</f>
        <v>Surrey and Sussex</v>
      </c>
      <c r="C17" s="69" t="s">
        <v>15</v>
      </c>
      <c r="D17" s="7" t="str">
        <f>VLOOKUP(C17,'Organisation names'!$B$4:$D$130,2,FALSE)</f>
        <v>Royal Surrey County Hospital NHS Foundation Trust</v>
      </c>
      <c r="E17" s="70">
        <v>199</v>
      </c>
      <c r="F17" s="21">
        <v>0.61809045076370239</v>
      </c>
      <c r="G17" s="21">
        <v>0.3919597864151001</v>
      </c>
      <c r="H17" s="21">
        <v>0.44723618030548101</v>
      </c>
      <c r="L17" s="71"/>
    </row>
    <row r="18" spans="1:12" s="7" customFormat="1" x14ac:dyDescent="0.45">
      <c r="A18" s="7" t="s">
        <v>394</v>
      </c>
      <c r="B18" s="7" t="str">
        <f>VLOOKUP(C18,'Organisation names'!$B$4:$D$130,3,FALSE)</f>
        <v>Somerset, Wiltshire, Avon and Gloucestershire</v>
      </c>
      <c r="C18" s="69" t="s">
        <v>16</v>
      </c>
      <c r="D18" s="7" t="str">
        <f>VLOOKUP(C18,'Organisation names'!$B$4:$D$130,2,FALSE)</f>
        <v>University Hospitals Bristol and Weston NHS Foundation Trust</v>
      </c>
      <c r="E18" s="70">
        <v>205</v>
      </c>
      <c r="F18" s="21">
        <v>0.73658537864685059</v>
      </c>
      <c r="G18" s="21">
        <v>0.1170731708407402</v>
      </c>
      <c r="H18" s="21">
        <v>7.3170728981494904E-2</v>
      </c>
      <c r="L18" s="71"/>
    </row>
    <row r="19" spans="1:12" s="7" customFormat="1" x14ac:dyDescent="0.45">
      <c r="A19" s="7" t="s">
        <v>394</v>
      </c>
      <c r="B19" s="7" t="str">
        <f>VLOOKUP(C19,'Organisation names'!$B$4:$D$130,3,FALSE)</f>
        <v>Peninsula</v>
      </c>
      <c r="C19" s="69" t="s">
        <v>17</v>
      </c>
      <c r="D19" s="7" t="str">
        <f>VLOOKUP(C19,'Organisation names'!$B$4:$D$130,2,FALSE)</f>
        <v>Torbay and South Devon NHS Foundation Trust</v>
      </c>
      <c r="E19" s="70">
        <v>128</v>
      </c>
      <c r="F19" s="21">
        <v>0.9296875</v>
      </c>
      <c r="G19" s="21">
        <v>0.7265625</v>
      </c>
      <c r="H19" s="21">
        <v>0.5234375</v>
      </c>
      <c r="L19" s="71"/>
    </row>
    <row r="20" spans="1:12" s="7" customFormat="1" x14ac:dyDescent="0.45">
      <c r="A20" s="7" t="s">
        <v>394</v>
      </c>
      <c r="B20" s="7" t="str">
        <f>VLOOKUP(C20,'Organisation names'!$B$4:$D$130,3,FALSE)</f>
        <v>West Yorkshire and Harrogate</v>
      </c>
      <c r="C20" s="69" t="s">
        <v>18</v>
      </c>
      <c r="D20" s="7" t="str">
        <f>VLOOKUP(C20,'Organisation names'!$B$4:$D$130,2,FALSE)</f>
        <v>Bradford Teaching Hospitals NHS Foundation Trust</v>
      </c>
      <c r="E20" s="70">
        <v>91</v>
      </c>
      <c r="F20" s="21">
        <v>0.8461538553237915</v>
      </c>
      <c r="G20" s="21">
        <v>0.71428573131561279</v>
      </c>
      <c r="H20" s="21">
        <v>0.80219781398773193</v>
      </c>
      <c r="L20" s="71"/>
    </row>
    <row r="21" spans="1:12" s="7" customFormat="1" x14ac:dyDescent="0.45">
      <c r="A21" s="7" t="s">
        <v>394</v>
      </c>
      <c r="B21" s="7" t="str">
        <f>VLOOKUP(C21,'Organisation names'!$B$4:$D$130,3,FALSE)</f>
        <v>East of England</v>
      </c>
      <c r="C21" s="69" t="s">
        <v>19</v>
      </c>
      <c r="D21" s="7" t="str">
        <f>VLOOKUP(C21,'Organisation names'!$B$4:$D$130,2,FALSE)</f>
        <v>Mid and South Essex NHS Foundation Trust</v>
      </c>
      <c r="E21" s="70">
        <v>324</v>
      </c>
      <c r="F21" s="21">
        <v>0.71296298503875732</v>
      </c>
      <c r="G21" s="21">
        <v>8.0246910452842712E-2</v>
      </c>
      <c r="H21" s="21">
        <v>0.3611111044883728</v>
      </c>
      <c r="L21" s="71"/>
    </row>
    <row r="22" spans="1:12" s="7" customFormat="1" x14ac:dyDescent="0.45">
      <c r="A22" s="7" t="s">
        <v>394</v>
      </c>
      <c r="B22" s="7" t="str">
        <f>VLOOKUP(C22,'Organisation names'!$B$4:$D$130,3,FALSE)</f>
        <v>North Central London</v>
      </c>
      <c r="C22" s="69" t="s">
        <v>20</v>
      </c>
      <c r="D22" s="7" t="str">
        <f>VLOOKUP(C22,'Organisation names'!$B$4:$D$130,2,FALSE)</f>
        <v>Royal Free London NHS Foundation Trust</v>
      </c>
      <c r="E22" s="70">
        <v>348</v>
      </c>
      <c r="F22" s="21">
        <v>0.37068966031074518</v>
      </c>
      <c r="G22" s="21">
        <v>0.10919540375471121</v>
      </c>
      <c r="H22" s="21">
        <v>0.2183908075094223</v>
      </c>
      <c r="L22" s="71"/>
    </row>
    <row r="23" spans="1:12" s="7" customFormat="1" x14ac:dyDescent="0.45">
      <c r="A23" s="7" t="s">
        <v>394</v>
      </c>
      <c r="B23" s="7" t="str">
        <f>VLOOKUP(C23,'Organisation names'!$B$4:$D$130,3,FALSE)</f>
        <v>RM Partners</v>
      </c>
      <c r="C23" s="69" t="s">
        <v>21</v>
      </c>
      <c r="D23" s="7" t="str">
        <f>VLOOKUP(C23,'Organisation names'!$B$4:$D$130,2,FALSE)</f>
        <v>The Hillingdon Hospitals NHS Foundation Trust</v>
      </c>
      <c r="E23" s="70">
        <v>55</v>
      </c>
      <c r="F23" s="21">
        <v>0.69090908765792847</v>
      </c>
      <c r="G23" s="21">
        <v>0.56363636255264282</v>
      </c>
      <c r="H23" s="21">
        <v>0.7818182110786438</v>
      </c>
      <c r="L23" s="71"/>
    </row>
    <row r="24" spans="1:12" s="7" customFormat="1" x14ac:dyDescent="0.45">
      <c r="A24" s="7" t="s">
        <v>394</v>
      </c>
      <c r="B24" s="7" t="str">
        <f>VLOOKUP(C24,'Organisation names'!$B$4:$D$130,3,FALSE)</f>
        <v>RM Partners</v>
      </c>
      <c r="C24" s="69" t="s">
        <v>22</v>
      </c>
      <c r="D24" s="7" t="str">
        <f>VLOOKUP(C24,'Organisation names'!$B$4:$D$130,2,FALSE)</f>
        <v>Kingston and Richmond NHS Foundation Trust</v>
      </c>
      <c r="E24" s="70">
        <v>51</v>
      </c>
      <c r="F24" s="21">
        <v>0.60784316062927246</v>
      </c>
      <c r="G24" s="21">
        <v>0.45098039507865911</v>
      </c>
      <c r="H24" s="21">
        <v>0.39215686917304993</v>
      </c>
      <c r="L24" s="71"/>
    </row>
    <row r="25" spans="1:12" s="7" customFormat="1" x14ac:dyDescent="0.45">
      <c r="A25" s="7" t="s">
        <v>394</v>
      </c>
      <c r="B25" s="7" t="str">
        <f>VLOOKUP(C25,'Organisation names'!$B$4:$D$130,3,FALSE)</f>
        <v>Wessex</v>
      </c>
      <c r="C25" s="69" t="s">
        <v>23</v>
      </c>
      <c r="D25" s="7" t="str">
        <f>VLOOKUP(C25,'Organisation names'!$B$4:$D$130,2,FALSE)</f>
        <v>Dorset County Hospital NHS Foundation Trust</v>
      </c>
      <c r="E25" s="70">
        <v>79</v>
      </c>
      <c r="F25" s="21">
        <v>0.92405062913894653</v>
      </c>
      <c r="G25" s="21">
        <v>0.68354427814483643</v>
      </c>
      <c r="H25" s="21">
        <v>0.83544301986694336</v>
      </c>
      <c r="L25" s="71"/>
    </row>
    <row r="26" spans="1:12" s="7" customFormat="1" x14ac:dyDescent="0.45">
      <c r="A26" s="7" t="s">
        <v>394</v>
      </c>
      <c r="B26" s="7" t="str">
        <f>VLOOKUP(C26,'Organisation names'!$B$4:$D$130,3,FALSE)</f>
        <v>West Midlands</v>
      </c>
      <c r="C26" s="69" t="s">
        <v>24</v>
      </c>
      <c r="D26" s="7" t="str">
        <f>VLOOKUP(C26,'Organisation names'!$B$4:$D$130,2,FALSE)</f>
        <v>Walsall Healthcare NHS Trust</v>
      </c>
      <c r="E26" s="70">
        <v>64</v>
      </c>
      <c r="F26" s="21">
        <v>0.546875</v>
      </c>
      <c r="G26" s="21">
        <v>0.390625</v>
      </c>
      <c r="H26" s="21">
        <v>0.34375</v>
      </c>
      <c r="L26" s="71"/>
    </row>
    <row r="27" spans="1:12" s="7" customFormat="1" x14ac:dyDescent="0.45">
      <c r="A27" s="7" t="s">
        <v>394</v>
      </c>
      <c r="B27" s="7" t="str">
        <f>VLOOKUP(C27,'Organisation names'!$B$4:$D$130,3,FALSE)</f>
        <v>Cheshire and Merseyside</v>
      </c>
      <c r="C27" s="69" t="s">
        <v>25</v>
      </c>
      <c r="D27" s="7" t="str">
        <f>VLOOKUP(C27,'Organisation names'!$B$4:$D$130,2,FALSE)</f>
        <v>Wirral University Teaching Hospital NHS Foundation Trust</v>
      </c>
      <c r="E27" s="70">
        <v>107</v>
      </c>
      <c r="F27" s="21">
        <v>0.89719623327255249</v>
      </c>
      <c r="G27" s="21">
        <v>0.91588783264160156</v>
      </c>
      <c r="H27" s="21">
        <v>0.81308412551879883</v>
      </c>
      <c r="L27" s="71"/>
    </row>
    <row r="28" spans="1:12" s="7" customFormat="1" x14ac:dyDescent="0.45">
      <c r="A28" s="7" t="s">
        <v>394</v>
      </c>
      <c r="B28" s="7" t="str">
        <f>VLOOKUP(C28,'Organisation names'!$B$4:$D$130,3,FALSE)</f>
        <v>Cheshire and Merseyside</v>
      </c>
      <c r="C28" s="69" t="s">
        <v>26</v>
      </c>
      <c r="D28" s="7" t="str">
        <f>VLOOKUP(C28,'Organisation names'!$B$4:$D$130,2,FALSE)</f>
        <v>Mersey And West Lancashire Teaching Hospitals NHS Trust</v>
      </c>
      <c r="E28" s="70">
        <v>145</v>
      </c>
      <c r="F28" s="21">
        <v>0.88275861740112305</v>
      </c>
      <c r="G28" s="21">
        <v>0.75172412395477295</v>
      </c>
      <c r="H28" s="21">
        <v>0.66896551847457886</v>
      </c>
      <c r="L28" s="71"/>
    </row>
    <row r="29" spans="1:12" s="7" customFormat="1" x14ac:dyDescent="0.45">
      <c r="A29" s="7" t="s">
        <v>394</v>
      </c>
      <c r="B29" s="7" t="str">
        <f>VLOOKUP(C29,'Organisation names'!$B$4:$D$130,3,FALSE)</f>
        <v>Cheshire and Merseyside</v>
      </c>
      <c r="C29" s="69" t="s">
        <v>27</v>
      </c>
      <c r="D29" s="7" t="str">
        <f>VLOOKUP(C29,'Organisation names'!$B$4:$D$130,2,FALSE)</f>
        <v>Mid Cheshire Hospitals NHS Foundation Trust</v>
      </c>
      <c r="E29" s="70">
        <v>96</v>
      </c>
      <c r="F29" s="21">
        <v>0.91666668653488159</v>
      </c>
      <c r="G29" s="21">
        <v>0.85416668653488159</v>
      </c>
      <c r="H29" s="21">
        <v>0.84375</v>
      </c>
      <c r="L29" s="71"/>
    </row>
    <row r="30" spans="1:12" s="7" customFormat="1" x14ac:dyDescent="0.45">
      <c r="A30" s="7" t="s">
        <v>394</v>
      </c>
      <c r="B30" s="7" t="str">
        <f>VLOOKUP(C30,'Organisation names'!$B$4:$D$130,3,FALSE)</f>
        <v>East of England</v>
      </c>
      <c r="C30" s="69" t="s">
        <v>29</v>
      </c>
      <c r="D30" s="7" t="str">
        <f>VLOOKUP(C30,'Organisation names'!$B$4:$D$130,2,FALSE)</f>
        <v>Bedfordshire Hospitals NHS Foundation Trust</v>
      </c>
      <c r="E30" s="70">
        <v>137</v>
      </c>
      <c r="F30" s="21">
        <v>0.70802921056747437</v>
      </c>
      <c r="G30" s="21">
        <v>0.46715328097343439</v>
      </c>
      <c r="H30" s="21">
        <v>0.53284668922424316</v>
      </c>
      <c r="L30" s="71"/>
    </row>
    <row r="31" spans="1:12" s="7" customFormat="1" x14ac:dyDescent="0.45">
      <c r="A31" s="7" t="s">
        <v>394</v>
      </c>
      <c r="B31" s="7" t="str">
        <f>VLOOKUP(C31,'Organisation names'!$B$4:$D$130,3,FALSE)</f>
        <v>Humber and North Yorkshire</v>
      </c>
      <c r="C31" s="69" t="s">
        <v>30</v>
      </c>
      <c r="D31" s="7" t="str">
        <f>VLOOKUP(C31,'Organisation names'!$B$4:$D$130,2,FALSE)</f>
        <v>York and Scarborough Teaching Hospitals NHS Foundation Trust</v>
      </c>
      <c r="E31" s="70">
        <v>187</v>
      </c>
      <c r="F31" s="21">
        <v>0.8021390438079834</v>
      </c>
      <c r="G31" s="21">
        <v>0.66310161352157593</v>
      </c>
      <c r="H31" s="21">
        <v>0.51871657371520996</v>
      </c>
      <c r="L31" s="71"/>
    </row>
    <row r="32" spans="1:12" s="7" customFormat="1" x14ac:dyDescent="0.45">
      <c r="A32" s="7" t="s">
        <v>394</v>
      </c>
      <c r="B32" s="7" t="str">
        <f>VLOOKUP(C32,'Organisation names'!$B$4:$D$130,3,FALSE)</f>
        <v>West Yorkshire and Harrogate</v>
      </c>
      <c r="C32" s="69" t="s">
        <v>31</v>
      </c>
      <c r="D32" s="7" t="str">
        <f>VLOOKUP(C32,'Organisation names'!$B$4:$D$130,2,FALSE)</f>
        <v>Harrogate and District NHS Foundation Trust</v>
      </c>
      <c r="E32" s="70">
        <v>64</v>
      </c>
      <c r="F32" s="21">
        <v>0.90625</v>
      </c>
      <c r="G32" s="21">
        <v>0.578125</v>
      </c>
      <c r="H32" s="21">
        <v>0.75</v>
      </c>
      <c r="L32" s="71"/>
    </row>
    <row r="33" spans="1:12" s="7" customFormat="1" x14ac:dyDescent="0.45">
      <c r="A33" s="7" t="s">
        <v>394</v>
      </c>
      <c r="B33" s="7" t="str">
        <f>VLOOKUP(C33,'Organisation names'!$B$4:$D$130,3,FALSE)</f>
        <v>West Yorkshire and Harrogate</v>
      </c>
      <c r="C33" s="69" t="s">
        <v>32</v>
      </c>
      <c r="D33" s="7" t="str">
        <f>VLOOKUP(C33,'Organisation names'!$B$4:$D$130,2,FALSE)</f>
        <v>Airedale NHS Foundation Trust</v>
      </c>
      <c r="E33" s="70">
        <v>75</v>
      </c>
      <c r="F33" s="21">
        <v>0.92000001668930054</v>
      </c>
      <c r="G33" s="21">
        <v>0.72000002861022949</v>
      </c>
      <c r="H33" s="21">
        <v>0.87999999523162842</v>
      </c>
      <c r="L33" s="71"/>
    </row>
    <row r="34" spans="1:12" s="7" customFormat="1" x14ac:dyDescent="0.45">
      <c r="A34" s="7" t="s">
        <v>394</v>
      </c>
      <c r="B34" s="7" t="str">
        <f>VLOOKUP(C34,'Organisation names'!$B$4:$D$130,3,FALSE)</f>
        <v>East of England</v>
      </c>
      <c r="C34" s="69" t="s">
        <v>33</v>
      </c>
      <c r="D34" s="7" t="str">
        <f>VLOOKUP(C34,'Organisation names'!$B$4:$D$130,2,FALSE)</f>
        <v>The Queen Elizabeth Hospital, King's Lynn, NHS Foundation Trust</v>
      </c>
      <c r="E34" s="70">
        <v>93</v>
      </c>
      <c r="F34" s="21">
        <v>0.76344084739685059</v>
      </c>
      <c r="G34" s="21">
        <v>0.73118281364440918</v>
      </c>
      <c r="H34" s="21">
        <v>0.58064514398574829</v>
      </c>
      <c r="L34" s="71"/>
    </row>
    <row r="35" spans="1:12" s="7" customFormat="1" x14ac:dyDescent="0.45">
      <c r="A35" s="7" t="s">
        <v>394</v>
      </c>
      <c r="B35" s="7" t="str">
        <f>VLOOKUP(C35,'Organisation names'!$B$4:$D$130,3,FALSE)</f>
        <v>Somerset, Wiltshire, Avon and Gloucestershire</v>
      </c>
      <c r="C35" s="69" t="s">
        <v>34</v>
      </c>
      <c r="D35" s="7" t="str">
        <f>VLOOKUP(C35,'Organisation names'!$B$4:$D$130,2,FALSE)</f>
        <v>Royal United Hospitals Bath NHS Foundation Trust</v>
      </c>
      <c r="E35" s="70">
        <v>127</v>
      </c>
      <c r="F35" s="21">
        <v>0.71653544902801514</v>
      </c>
      <c r="G35" s="21">
        <v>0.66141730546951294</v>
      </c>
      <c r="H35" s="21">
        <v>0.85039371252059937</v>
      </c>
      <c r="L35" s="71"/>
    </row>
    <row r="36" spans="1:12" s="7" customFormat="1" x14ac:dyDescent="0.45">
      <c r="A36" s="7" t="s">
        <v>394</v>
      </c>
      <c r="B36" s="7" t="str">
        <f>VLOOKUP(C36,'Organisation names'!$B$4:$D$130,3,FALSE)</f>
        <v>East of England</v>
      </c>
      <c r="C36" s="69" t="s">
        <v>35</v>
      </c>
      <c r="D36" s="7" t="str">
        <f>VLOOKUP(C36,'Organisation names'!$B$4:$D$130,2,FALSE)</f>
        <v>Milton Keynes University Hospital NHS Foundation Trust</v>
      </c>
      <c r="E36" s="70">
        <v>88</v>
      </c>
      <c r="F36" s="21">
        <v>0.85227274894714355</v>
      </c>
      <c r="G36" s="21">
        <v>0.81818181276321411</v>
      </c>
      <c r="H36" s="21">
        <v>0.52272725105285645</v>
      </c>
      <c r="L36" s="71"/>
    </row>
    <row r="37" spans="1:12" s="7" customFormat="1" x14ac:dyDescent="0.45">
      <c r="A37" s="7" t="s">
        <v>394</v>
      </c>
      <c r="B37" s="7" t="str">
        <f>VLOOKUP(C37,'Organisation names'!$B$4:$D$130,3,FALSE)</f>
        <v>East of England</v>
      </c>
      <c r="C37" s="69" t="s">
        <v>36</v>
      </c>
      <c r="D37" s="7" t="str">
        <f>VLOOKUP(C37,'Organisation names'!$B$4:$D$130,2,FALSE)</f>
        <v>East Suffolk and North Essex NHS Foundation Trust</v>
      </c>
      <c r="E37" s="70">
        <v>244</v>
      </c>
      <c r="F37" s="21">
        <v>0.82786887884140015</v>
      </c>
      <c r="G37" s="21">
        <v>0.58606559038162231</v>
      </c>
      <c r="H37" s="21">
        <v>0.59836065769195557</v>
      </c>
      <c r="L37" s="71"/>
    </row>
    <row r="38" spans="1:12" s="7" customFormat="1" x14ac:dyDescent="0.45">
      <c r="A38" s="7" t="s">
        <v>394</v>
      </c>
      <c r="B38" s="7" t="str">
        <f>VLOOKUP(C38,'Organisation names'!$B$4:$D$130,3,FALSE)</f>
        <v>Surrey and Sussex</v>
      </c>
      <c r="C38" s="69" t="s">
        <v>37</v>
      </c>
      <c r="D38" s="7" t="str">
        <f>VLOOKUP(C38,'Organisation names'!$B$4:$D$130,2,FALSE)</f>
        <v>Frimley Health NHS Foundation Trust</v>
      </c>
      <c r="E38" s="70">
        <v>194</v>
      </c>
      <c r="F38" s="21">
        <v>0.64432990550994873</v>
      </c>
      <c r="G38" s="21">
        <v>0.46907216310501099</v>
      </c>
      <c r="H38" s="21">
        <v>0.29896906018257141</v>
      </c>
      <c r="L38" s="71"/>
    </row>
    <row r="39" spans="1:12" s="7" customFormat="1" x14ac:dyDescent="0.45">
      <c r="A39" s="7" t="s">
        <v>394</v>
      </c>
      <c r="B39" s="7" t="str">
        <f>VLOOKUP(C39,'Organisation names'!$B$4:$D$130,3,FALSE)</f>
        <v>Peninsula</v>
      </c>
      <c r="C39" s="69" t="s">
        <v>38</v>
      </c>
      <c r="D39" s="7" t="str">
        <f>VLOOKUP(C39,'Organisation names'!$B$4:$D$130,2,FALSE)</f>
        <v>Royal Cornwall Hospitals NHS Trust</v>
      </c>
      <c r="E39" s="70">
        <v>173</v>
      </c>
      <c r="F39" s="21">
        <v>0.82658958435058594</v>
      </c>
      <c r="G39" s="21">
        <v>0.80346822738647461</v>
      </c>
      <c r="H39" s="21">
        <v>0.69364160299301147</v>
      </c>
      <c r="L39" s="71"/>
    </row>
    <row r="40" spans="1:12" s="7" customFormat="1" x14ac:dyDescent="0.45">
      <c r="A40" s="7" t="s">
        <v>394</v>
      </c>
      <c r="B40" s="7" t="str">
        <f>VLOOKUP(C40,'Organisation names'!$B$4:$D$130,3,FALSE)</f>
        <v>Cheshire and Merseyside</v>
      </c>
      <c r="C40" s="69" t="s">
        <v>39</v>
      </c>
      <c r="D40" s="7" t="str">
        <f>VLOOKUP(C40,'Organisation names'!$B$4:$D$130,2,FALSE)</f>
        <v>Liverpool University Hospitals NHS Foundation Trust</v>
      </c>
      <c r="E40" s="70">
        <v>298</v>
      </c>
      <c r="F40" s="21">
        <v>0.70134228467941284</v>
      </c>
      <c r="G40" s="21">
        <v>0.77852350473403931</v>
      </c>
      <c r="H40" s="21">
        <v>0.44630873203277588</v>
      </c>
      <c r="L40" s="71"/>
    </row>
    <row r="41" spans="1:12" s="7" customFormat="1" x14ac:dyDescent="0.45">
      <c r="A41" s="7" t="s">
        <v>394</v>
      </c>
      <c r="B41" s="7" t="str">
        <f>VLOOKUP(C41,'Organisation names'!$B$4:$D$130,3,FALSE)</f>
        <v>North East London</v>
      </c>
      <c r="C41" s="69" t="s">
        <v>41</v>
      </c>
      <c r="D41" s="7" t="str">
        <f>VLOOKUP(C41,'Organisation names'!$B$4:$D$130,2,FALSE)</f>
        <v>Barking, Havering and Redbridge University Hospitals NHS Trust</v>
      </c>
      <c r="E41" s="70">
        <v>142</v>
      </c>
      <c r="F41" s="21">
        <v>0.69014084339141846</v>
      </c>
      <c r="G41" s="21">
        <v>0.45070421695709229</v>
      </c>
      <c r="H41" s="21">
        <v>5.6338027119636543E-2</v>
      </c>
      <c r="L41" s="71"/>
    </row>
    <row r="42" spans="1:12" s="7" customFormat="1" x14ac:dyDescent="0.45">
      <c r="A42" s="7" t="s">
        <v>394</v>
      </c>
      <c r="B42" s="7" t="str">
        <f>VLOOKUP(C42,'Organisation names'!$B$4:$D$130,3,FALSE)</f>
        <v>South Yorkshire and Bassetlaw</v>
      </c>
      <c r="C42" s="69" t="s">
        <v>42</v>
      </c>
      <c r="D42" s="7" t="str">
        <f>VLOOKUP(C42,'Organisation names'!$B$4:$D$130,2,FALSE)</f>
        <v>Barnsley Hospital NHS Foundation Trust</v>
      </c>
      <c r="E42" s="70">
        <v>80</v>
      </c>
      <c r="F42" s="21">
        <v>0.96249997615814209</v>
      </c>
      <c r="G42" s="21">
        <v>0.8125</v>
      </c>
      <c r="H42" s="21">
        <v>0.91250002384185791</v>
      </c>
      <c r="L42" s="71"/>
    </row>
    <row r="43" spans="1:12" s="7" customFormat="1" x14ac:dyDescent="0.45">
      <c r="A43" s="7" t="s">
        <v>394</v>
      </c>
      <c r="B43" s="7" t="str">
        <f>VLOOKUP(C43,'Organisation names'!$B$4:$D$130,3,FALSE)</f>
        <v>South Yorkshire and Bassetlaw</v>
      </c>
      <c r="C43" s="69" t="s">
        <v>43</v>
      </c>
      <c r="D43" s="7" t="str">
        <f>VLOOKUP(C43,'Organisation names'!$B$4:$D$130,2,FALSE)</f>
        <v>The Rotherham NHS Foundation Trust</v>
      </c>
      <c r="E43" s="70">
        <v>68</v>
      </c>
      <c r="F43" s="21">
        <v>0.45588234066963201</v>
      </c>
      <c r="G43" s="21">
        <v>0.25</v>
      </c>
      <c r="H43" s="21">
        <v>0.79411762952804565</v>
      </c>
      <c r="L43" s="71"/>
    </row>
    <row r="44" spans="1:12" s="7" customFormat="1" x14ac:dyDescent="0.45">
      <c r="A44" s="7" t="s">
        <v>394</v>
      </c>
      <c r="B44" s="7" t="str">
        <f>VLOOKUP(C44,'Organisation names'!$B$4:$D$130,3,FALSE)</f>
        <v>East Midlands</v>
      </c>
      <c r="C44" s="69" t="s">
        <v>44</v>
      </c>
      <c r="D44" s="7" t="str">
        <f>VLOOKUP(C44,'Organisation names'!$B$4:$D$130,2,FALSE)</f>
        <v>Chesterfield Royal Hospital NHS Foundation Trust</v>
      </c>
      <c r="E44" s="70">
        <v>94</v>
      </c>
      <c r="F44" s="21">
        <v>0.96808511018753052</v>
      </c>
      <c r="G44" s="21">
        <v>0.90425533056259155</v>
      </c>
      <c r="H44" s="21">
        <v>0.82978725433349609</v>
      </c>
      <c r="L44" s="71"/>
    </row>
    <row r="45" spans="1:12" s="7" customFormat="1" x14ac:dyDescent="0.45">
      <c r="A45" s="7" t="s">
        <v>394</v>
      </c>
      <c r="B45" s="7" t="str">
        <f>VLOOKUP(C45,'Organisation names'!$B$4:$D$130,3,FALSE)</f>
        <v>East of England</v>
      </c>
      <c r="C45" s="69" t="s">
        <v>45</v>
      </c>
      <c r="D45" s="7" t="str">
        <f>VLOOKUP(C45,'Organisation names'!$B$4:$D$130,2,FALSE)</f>
        <v>North West Anglia NHS Foundation Trust</v>
      </c>
      <c r="E45" s="70">
        <v>159</v>
      </c>
      <c r="F45" s="21">
        <v>0.76100629568099976</v>
      </c>
      <c r="G45" s="21">
        <v>0.44025155901908869</v>
      </c>
      <c r="H45" s="21">
        <v>0.51572328805923462</v>
      </c>
      <c r="L45" s="71"/>
    </row>
    <row r="46" spans="1:12" s="7" customFormat="1" x14ac:dyDescent="0.45">
      <c r="A46" s="7" t="s">
        <v>394</v>
      </c>
      <c r="B46" s="7" t="str">
        <f>VLOOKUP(C46,'Organisation names'!$B$4:$D$130,3,FALSE)</f>
        <v>East of England</v>
      </c>
      <c r="C46" s="69" t="s">
        <v>46</v>
      </c>
      <c r="D46" s="7" t="str">
        <f>VLOOKUP(C46,'Organisation names'!$B$4:$D$130,2,FALSE)</f>
        <v>James Paget University Hospitals NHS Foundation Trust</v>
      </c>
      <c r="E46" s="70">
        <v>80</v>
      </c>
      <c r="F46" s="21">
        <v>0.88749998807907104</v>
      </c>
      <c r="G46" s="21">
        <v>0.8125</v>
      </c>
      <c r="H46" s="21">
        <v>0.83749997615814209</v>
      </c>
      <c r="L46" s="71"/>
    </row>
    <row r="47" spans="1:12" s="7" customFormat="1" x14ac:dyDescent="0.45">
      <c r="A47" s="7" t="s">
        <v>394</v>
      </c>
      <c r="B47" s="7" t="str">
        <f>VLOOKUP(C47,'Organisation names'!$B$4:$D$130,3,FALSE)</f>
        <v>East of England</v>
      </c>
      <c r="C47" s="69" t="s">
        <v>47</v>
      </c>
      <c r="D47" s="7" t="str">
        <f>VLOOKUP(C47,'Organisation names'!$B$4:$D$130,2,FALSE)</f>
        <v>West Suffolk NHS Foundation Trust</v>
      </c>
      <c r="E47" s="70">
        <v>80</v>
      </c>
      <c r="F47" s="21">
        <v>0.86250001192092896</v>
      </c>
      <c r="G47" s="21">
        <v>0.72500002384185791</v>
      </c>
      <c r="H47" s="21">
        <v>0.5625</v>
      </c>
      <c r="L47" s="71"/>
    </row>
    <row r="48" spans="1:12" s="7" customFormat="1" x14ac:dyDescent="0.45">
      <c r="A48" s="7" t="s">
        <v>394</v>
      </c>
      <c r="B48" s="7" t="str">
        <f>VLOOKUP(C48,'Organisation names'!$B$4:$D$130,3,FALSE)</f>
        <v>East of England</v>
      </c>
      <c r="C48" s="69" t="s">
        <v>48</v>
      </c>
      <c r="D48" s="7" t="str">
        <f>VLOOKUP(C48,'Organisation names'!$B$4:$D$130,2,FALSE)</f>
        <v>Cambridge University Hospitals NHS Foundation Trust</v>
      </c>
      <c r="E48" s="70">
        <v>193</v>
      </c>
      <c r="F48" s="21">
        <v>0.66839379072189331</v>
      </c>
      <c r="G48" s="21">
        <v>0.47668394446372991</v>
      </c>
      <c r="H48" s="21">
        <v>0.51295334100723267</v>
      </c>
      <c r="L48" s="71"/>
    </row>
    <row r="49" spans="1:12" s="7" customFormat="1" x14ac:dyDescent="0.45">
      <c r="A49" s="7" t="s">
        <v>394</v>
      </c>
      <c r="B49" s="7" t="str">
        <f>VLOOKUP(C49,'Organisation names'!$B$4:$D$130,3,FALSE)</f>
        <v>Somerset, Wiltshire, Avon and Gloucestershire</v>
      </c>
      <c r="C49" s="69" t="s">
        <v>49</v>
      </c>
      <c r="D49" s="7" t="str">
        <f>VLOOKUP(C49,'Organisation names'!$B$4:$D$130,2,FALSE)</f>
        <v>Somerset NHS Foundation Trust</v>
      </c>
      <c r="E49" s="70">
        <v>204</v>
      </c>
      <c r="F49" s="21">
        <v>0.83823531866073608</v>
      </c>
      <c r="G49" s="21">
        <v>0.56862747669219971</v>
      </c>
      <c r="H49" s="21">
        <v>0.52941179275512695</v>
      </c>
      <c r="L49" s="71"/>
    </row>
    <row r="50" spans="1:12" s="7" customFormat="1" x14ac:dyDescent="0.45">
      <c r="A50" s="7" t="s">
        <v>394</v>
      </c>
      <c r="B50" s="7" t="str">
        <f>VLOOKUP(C50,'Organisation names'!$B$4:$D$130,3,FALSE)</f>
        <v>Peninsula</v>
      </c>
      <c r="C50" s="69" t="s">
        <v>50</v>
      </c>
      <c r="D50" s="7" t="str">
        <f>VLOOKUP(C50,'Organisation names'!$B$4:$D$130,2,FALSE)</f>
        <v>Royal Devon University Healthcare NHS Foundation Trust</v>
      </c>
      <c r="E50" s="70">
        <v>238</v>
      </c>
      <c r="F50" s="21">
        <v>0.74789917469024658</v>
      </c>
      <c r="G50" s="21">
        <v>0.41596639156341553</v>
      </c>
      <c r="H50" s="21">
        <v>0.54621851444244385</v>
      </c>
      <c r="L50" s="71"/>
    </row>
    <row r="51" spans="1:12" s="7" customFormat="1" x14ac:dyDescent="0.45">
      <c r="A51" s="7" t="s">
        <v>394</v>
      </c>
      <c r="B51" s="7" t="str">
        <f>VLOOKUP(C51,'Organisation names'!$B$4:$D$130,3,FALSE)</f>
        <v>Wessex</v>
      </c>
      <c r="C51" s="69" t="s">
        <v>51</v>
      </c>
      <c r="D51" s="7" t="str">
        <f>VLOOKUP(C51,'Organisation names'!$B$4:$D$130,2,FALSE)</f>
        <v>University Hospital Southampton NHS Foundation Trust</v>
      </c>
      <c r="E51" s="70">
        <v>217</v>
      </c>
      <c r="F51" s="21">
        <v>0.95391702651977539</v>
      </c>
      <c r="G51" s="21">
        <v>0.86175113916397095</v>
      </c>
      <c r="H51" s="21">
        <v>0.79723501205444336</v>
      </c>
      <c r="L51" s="71"/>
    </row>
    <row r="52" spans="1:12" s="7" customFormat="1" x14ac:dyDescent="0.45">
      <c r="A52" s="7" t="s">
        <v>394</v>
      </c>
      <c r="B52" s="7" t="str">
        <f>VLOOKUP(C52,'Organisation names'!$B$4:$D$130,3,FALSE)</f>
        <v>South Yorkshire and Bassetlaw</v>
      </c>
      <c r="C52" s="69" t="s">
        <v>52</v>
      </c>
      <c r="D52" s="7" t="str">
        <f>VLOOKUP(C52,'Organisation names'!$B$4:$D$130,2,FALSE)</f>
        <v>Sheffield Teaching Hospitals NHS Foundation Trust</v>
      </c>
      <c r="E52" s="70">
        <v>265</v>
      </c>
      <c r="F52" s="21">
        <v>0.45283019542694092</v>
      </c>
      <c r="G52" s="21">
        <v>0.10566037893295289</v>
      </c>
      <c r="H52" s="21">
        <v>0.15471698343753809</v>
      </c>
      <c r="L52" s="71"/>
    </row>
    <row r="53" spans="1:12" s="7" customFormat="1" x14ac:dyDescent="0.45">
      <c r="A53" s="7" t="s">
        <v>394</v>
      </c>
      <c r="B53" s="7" t="str">
        <f>VLOOKUP(C53,'Organisation names'!$B$4:$D$130,3,FALSE)</f>
        <v>Wessex</v>
      </c>
      <c r="C53" s="69" t="s">
        <v>53</v>
      </c>
      <c r="D53" s="7" t="str">
        <f>VLOOKUP(C53,'Organisation names'!$B$4:$D$130,2,FALSE)</f>
        <v>Portsmouth Hospitals University NHS Trust</v>
      </c>
      <c r="E53" s="70">
        <v>198</v>
      </c>
      <c r="F53" s="21">
        <v>0.75757575035095215</v>
      </c>
      <c r="G53" s="21">
        <v>0.42424243688583368</v>
      </c>
      <c r="H53" s="21">
        <v>0.42424243688583368</v>
      </c>
      <c r="L53" s="71"/>
    </row>
    <row r="54" spans="1:12" s="7" customFormat="1" x14ac:dyDescent="0.45">
      <c r="A54" s="7" t="s">
        <v>394</v>
      </c>
      <c r="B54" s="7" t="str">
        <f>VLOOKUP(C54,'Organisation names'!$B$4:$D$130,3,FALSE)</f>
        <v>Thames Valley</v>
      </c>
      <c r="C54" s="69" t="s">
        <v>54</v>
      </c>
      <c r="D54" s="7" t="str">
        <f>VLOOKUP(C54,'Organisation names'!$B$4:$D$130,2,FALSE)</f>
        <v>Royal Berkshire NHS Foundation Trust</v>
      </c>
      <c r="E54" s="70">
        <v>131</v>
      </c>
      <c r="F54" s="21">
        <v>0.79389315843582153</v>
      </c>
      <c r="G54" s="21">
        <v>0.57251906394958496</v>
      </c>
      <c r="H54" s="21">
        <v>0.82442748546600342</v>
      </c>
      <c r="L54" s="71"/>
    </row>
    <row r="55" spans="1:12" s="7" customFormat="1" x14ac:dyDescent="0.45">
      <c r="A55" s="7" t="s">
        <v>394</v>
      </c>
      <c r="B55" s="7" t="str">
        <f>VLOOKUP(C55,'Organisation names'!$B$4:$D$130,3,FALSE)</f>
        <v>South East London</v>
      </c>
      <c r="C55" s="69" t="s">
        <v>55</v>
      </c>
      <c r="D55" s="7" t="str">
        <f>VLOOKUP(C55,'Organisation names'!$B$4:$D$130,2,FALSE)</f>
        <v>Guy's and St Thomas' NHS Foundation Trust</v>
      </c>
      <c r="E55" s="70">
        <v>78</v>
      </c>
      <c r="F55" s="21">
        <v>0.47435897588729858</v>
      </c>
      <c r="G55" s="21">
        <v>0.37179487943649292</v>
      </c>
      <c r="H55" s="21">
        <v>0.15384615957736969</v>
      </c>
      <c r="L55" s="71"/>
    </row>
    <row r="56" spans="1:12" s="7" customFormat="1" x14ac:dyDescent="0.45">
      <c r="A56" s="7" t="s">
        <v>394</v>
      </c>
      <c r="B56" s="7" t="str">
        <f>VLOOKUP(C56,'Organisation names'!$B$4:$D$130,3,FALSE)</f>
        <v>South East London</v>
      </c>
      <c r="C56" s="69" t="s">
        <v>56</v>
      </c>
      <c r="D56" s="7" t="str">
        <f>VLOOKUP(C56,'Organisation names'!$B$4:$D$130,2,FALSE)</f>
        <v>Lewisham and Greenwich NHS Trust</v>
      </c>
      <c r="E56" s="70">
        <v>131</v>
      </c>
      <c r="F56" s="21">
        <v>0.68702292442321777</v>
      </c>
      <c r="G56" s="21">
        <v>0.33587786555290222</v>
      </c>
      <c r="H56" s="21">
        <v>0.77099233865737915</v>
      </c>
      <c r="L56" s="71"/>
    </row>
    <row r="57" spans="1:12" s="7" customFormat="1" x14ac:dyDescent="0.45">
      <c r="A57" s="7" t="s">
        <v>394</v>
      </c>
      <c r="B57" s="7" t="str">
        <f>VLOOKUP(C57,'Organisation names'!$B$4:$D$130,3,FALSE)</f>
        <v>RM Partners</v>
      </c>
      <c r="C57" s="69" t="s">
        <v>57</v>
      </c>
      <c r="D57" s="7" t="str">
        <f>VLOOKUP(C57,'Organisation names'!$B$4:$D$130,2,FALSE)</f>
        <v>Croydon Health Services NHS Trust</v>
      </c>
      <c r="E57" s="70">
        <v>53</v>
      </c>
      <c r="F57" s="21">
        <v>0.81132078170776367</v>
      </c>
      <c r="G57" s="21">
        <v>0.62264150381088257</v>
      </c>
      <c r="H57" s="21">
        <v>0.4716981053352356</v>
      </c>
      <c r="L57" s="71"/>
    </row>
    <row r="58" spans="1:12" s="7" customFormat="1" x14ac:dyDescent="0.45">
      <c r="A58" s="7" t="s">
        <v>394</v>
      </c>
      <c r="B58" s="7" t="str">
        <f>VLOOKUP(C58,'Organisation names'!$B$4:$D$130,3,FALSE)</f>
        <v>RM Partners</v>
      </c>
      <c r="C58" s="69" t="s">
        <v>58</v>
      </c>
      <c r="D58" s="7" t="str">
        <f>VLOOKUP(C58,'Organisation names'!$B$4:$D$130,2,FALSE)</f>
        <v>St George's University Hospitals NHS Foundation Trust</v>
      </c>
      <c r="E58" s="70">
        <v>81</v>
      </c>
      <c r="F58" s="21">
        <v>0.51851850748062134</v>
      </c>
      <c r="G58" s="21">
        <v>0.20987653732299799</v>
      </c>
      <c r="H58" s="21">
        <v>0.1604938209056854</v>
      </c>
      <c r="L58" s="71"/>
    </row>
    <row r="59" spans="1:12" s="7" customFormat="1" x14ac:dyDescent="0.45">
      <c r="A59" s="7" t="s">
        <v>394</v>
      </c>
      <c r="B59" s="7" t="str">
        <f>VLOOKUP(C59,'Organisation names'!$B$4:$D$130,3,FALSE)</f>
        <v>West Midlands</v>
      </c>
      <c r="C59" s="69" t="s">
        <v>59</v>
      </c>
      <c r="D59" s="7" t="str">
        <f>VLOOKUP(C59,'Organisation names'!$B$4:$D$130,2,FALSE)</f>
        <v>South Warwickshire University NHS Foundation Trust</v>
      </c>
      <c r="E59" s="70">
        <v>65</v>
      </c>
      <c r="F59" s="21">
        <v>0.72307693958282471</v>
      </c>
      <c r="G59" s="21">
        <v>0.23076923191547391</v>
      </c>
      <c r="H59" s="21">
        <v>0.55384618043899536</v>
      </c>
      <c r="L59" s="71"/>
    </row>
    <row r="60" spans="1:12" s="7" customFormat="1" x14ac:dyDescent="0.45">
      <c r="A60" s="7" t="s">
        <v>394</v>
      </c>
      <c r="B60" s="7" t="str">
        <f>VLOOKUP(C60,'Organisation names'!$B$4:$D$130,3,FALSE)</f>
        <v>West Midlands</v>
      </c>
      <c r="C60" s="69" t="s">
        <v>60</v>
      </c>
      <c r="D60" s="7" t="str">
        <f>VLOOKUP(C60,'Organisation names'!$B$4:$D$130,2,FALSE)</f>
        <v>University Hospitals Of North Midlands NHS Trust</v>
      </c>
      <c r="E60" s="70">
        <v>256</v>
      </c>
      <c r="F60" s="21">
        <v>0.8046875</v>
      </c>
      <c r="G60" s="21">
        <v>0.71875</v>
      </c>
      <c r="H60" s="21">
        <v>0.83984375</v>
      </c>
      <c r="L60" s="71"/>
    </row>
    <row r="61" spans="1:12" s="7" customFormat="1" x14ac:dyDescent="0.45">
      <c r="A61" s="7" t="s">
        <v>394</v>
      </c>
      <c r="B61" s="7" t="str">
        <f>VLOOKUP(C61,'Organisation names'!$B$4:$D$130,3,FALSE)</f>
        <v>Humber and North Yorkshire</v>
      </c>
      <c r="C61" s="69" t="s">
        <v>61</v>
      </c>
      <c r="D61" s="7" t="str">
        <f>VLOOKUP(C61,'Organisation names'!$B$4:$D$130,2,FALSE)</f>
        <v>Northern Lincolnshire and Goole NHS Foundation Trust</v>
      </c>
      <c r="E61" s="70">
        <v>144</v>
      </c>
      <c r="F61" s="21">
        <v>0.75694441795349121</v>
      </c>
      <c r="G61" s="21">
        <v>0.4513888955116272</v>
      </c>
      <c r="H61" s="21">
        <v>0.4930555522441864</v>
      </c>
      <c r="L61" s="71"/>
    </row>
    <row r="62" spans="1:12" s="7" customFormat="1" x14ac:dyDescent="0.45">
      <c r="A62" s="7" t="s">
        <v>394</v>
      </c>
      <c r="B62" s="7" t="str">
        <f>VLOOKUP(C62,'Organisation names'!$B$4:$D$130,3,FALSE)</f>
        <v>Cheshire and Merseyside</v>
      </c>
      <c r="C62" s="69" t="s">
        <v>62</v>
      </c>
      <c r="D62" s="7" t="str">
        <f>VLOOKUP(C62,'Organisation names'!$B$4:$D$130,2,FALSE)</f>
        <v>East Cheshire NHS Trust</v>
      </c>
      <c r="E62" s="70">
        <v>47</v>
      </c>
      <c r="F62" s="21">
        <v>0.78723406791687012</v>
      </c>
      <c r="G62" s="21">
        <v>0.53191488981246948</v>
      </c>
      <c r="H62" s="21">
        <v>0.10638298094272609</v>
      </c>
      <c r="L62" s="71"/>
    </row>
    <row r="63" spans="1:12" s="7" customFormat="1" x14ac:dyDescent="0.45">
      <c r="A63" s="7" t="s">
        <v>394</v>
      </c>
      <c r="B63" s="7" t="str">
        <f>VLOOKUP(C63,'Organisation names'!$B$4:$D$130,3,FALSE)</f>
        <v>Cheshire and Merseyside</v>
      </c>
      <c r="C63" s="69" t="s">
        <v>63</v>
      </c>
      <c r="D63" s="7" t="str">
        <f>VLOOKUP(C63,'Organisation names'!$B$4:$D$130,2,FALSE)</f>
        <v>Countess Of Chester Hospital NHS Foundation Trust</v>
      </c>
      <c r="E63" s="70">
        <v>36</v>
      </c>
      <c r="F63" s="21">
        <v>0.58333331346511841</v>
      </c>
      <c r="G63" s="21">
        <v>0.69444441795349121</v>
      </c>
      <c r="H63" s="21">
        <v>0.69444441795349121</v>
      </c>
      <c r="L63" s="71"/>
    </row>
    <row r="64" spans="1:12" s="7" customFormat="1" x14ac:dyDescent="0.45">
      <c r="A64" s="7" t="s">
        <v>394</v>
      </c>
      <c r="B64" s="7" t="str">
        <f>VLOOKUP(C64,'Organisation names'!$B$4:$D$130,3,FALSE)</f>
        <v>South East London</v>
      </c>
      <c r="C64" s="69" t="s">
        <v>64</v>
      </c>
      <c r="D64" s="7" t="str">
        <f>VLOOKUP(C64,'Organisation names'!$B$4:$D$130,2,FALSE)</f>
        <v>King's College Hospital NHS Foundation Trust</v>
      </c>
      <c r="E64" s="70">
        <v>266</v>
      </c>
      <c r="F64" s="21">
        <v>0.82330828905105591</v>
      </c>
      <c r="G64" s="21">
        <v>0.58646619319915771</v>
      </c>
      <c r="H64" s="21">
        <v>0.73308271169662476</v>
      </c>
      <c r="L64" s="71"/>
    </row>
    <row r="65" spans="1:12" s="7" customFormat="1" x14ac:dyDescent="0.45">
      <c r="A65" s="7" t="s">
        <v>394</v>
      </c>
      <c r="B65" s="7" t="str">
        <f>VLOOKUP(C65,'Organisation names'!$B$4:$D$130,3,FALSE)</f>
        <v>East Midlands</v>
      </c>
      <c r="C65" s="69" t="s">
        <v>65</v>
      </c>
      <c r="D65" s="7" t="str">
        <f>VLOOKUP(C65,'Organisation names'!$B$4:$D$130,2,FALSE)</f>
        <v>Sherwood Forest Hospitals NHS Foundation Trust</v>
      </c>
      <c r="E65" s="70">
        <v>90</v>
      </c>
      <c r="F65" s="21">
        <v>0.34444445371627808</v>
      </c>
      <c r="G65" s="21">
        <v>0.48888888955116272</v>
      </c>
      <c r="H65" s="21">
        <v>0.20000000298023221</v>
      </c>
      <c r="L65" s="71"/>
    </row>
    <row r="66" spans="1:12" s="7" customFormat="1" x14ac:dyDescent="0.45">
      <c r="A66" s="7" t="s">
        <v>394</v>
      </c>
      <c r="B66" s="7" t="str">
        <f>VLOOKUP(C66,'Organisation names'!$B$4:$D$130,3,FALSE)</f>
        <v>Peninsula</v>
      </c>
      <c r="C66" s="69" t="s">
        <v>66</v>
      </c>
      <c r="D66" s="7" t="str">
        <f>VLOOKUP(C66,'Organisation names'!$B$4:$D$130,2,FALSE)</f>
        <v>University Hospitals Plymouth NHS Trust</v>
      </c>
      <c r="E66" s="70">
        <v>177</v>
      </c>
      <c r="F66" s="21">
        <v>0.85875707864761353</v>
      </c>
      <c r="G66" s="21">
        <v>0.67231637239456177</v>
      </c>
      <c r="H66" s="21">
        <v>0.7401130199432373</v>
      </c>
      <c r="L66" s="71"/>
    </row>
    <row r="67" spans="1:12" s="7" customFormat="1" x14ac:dyDescent="0.45">
      <c r="A67" s="7" t="s">
        <v>394</v>
      </c>
      <c r="B67" s="7" t="str">
        <f>VLOOKUP(C67,'Organisation names'!$B$4:$D$130,3,FALSE)</f>
        <v>West Midlands</v>
      </c>
      <c r="C67" s="69" t="s">
        <v>67</v>
      </c>
      <c r="D67" s="7" t="str">
        <f>VLOOKUP(C67,'Organisation names'!$B$4:$D$130,2,FALSE)</f>
        <v>University Hospitals Coventry and Warwickshire NHS Trust</v>
      </c>
      <c r="E67" s="70">
        <v>181</v>
      </c>
      <c r="F67" s="21">
        <v>0.79558008909225464</v>
      </c>
      <c r="G67" s="21">
        <v>0.6961326003074646</v>
      </c>
      <c r="H67" s="21">
        <v>0.74585634469985962</v>
      </c>
      <c r="L67" s="71"/>
    </row>
    <row r="68" spans="1:12" s="7" customFormat="1" x14ac:dyDescent="0.45">
      <c r="A68" s="7" t="s">
        <v>394</v>
      </c>
      <c r="B68" s="7" t="str">
        <f>VLOOKUP(C68,'Organisation names'!$B$4:$D$130,3,FALSE)</f>
        <v>North Central London</v>
      </c>
      <c r="C68" s="69" t="s">
        <v>68</v>
      </c>
      <c r="D68" s="7" t="str">
        <f>VLOOKUP(C68,'Organisation names'!$B$4:$D$130,2,FALSE)</f>
        <v>Whittington Health NHS Trust</v>
      </c>
      <c r="E68" s="70">
        <v>38</v>
      </c>
      <c r="F68" s="21">
        <v>0.3684210479259491</v>
      </c>
      <c r="G68" s="21">
        <v>0.47368422150611877</v>
      </c>
      <c r="H68" s="21">
        <v>0.63157892227172852</v>
      </c>
      <c r="L68" s="71"/>
    </row>
    <row r="69" spans="1:12" s="7" customFormat="1" x14ac:dyDescent="0.45">
      <c r="A69" s="7" t="s">
        <v>394</v>
      </c>
      <c r="B69" s="7" t="str">
        <f>VLOOKUP(C69,'Organisation names'!$B$4:$D$130,3,FALSE)</f>
        <v>West Midlands</v>
      </c>
      <c r="C69" s="69" t="s">
        <v>69</v>
      </c>
      <c r="D69" s="7" t="str">
        <f>VLOOKUP(C69,'Organisation names'!$B$4:$D$130,2,FALSE)</f>
        <v>The Royal Wolverhampton NHS Trust</v>
      </c>
      <c r="E69" s="70">
        <v>118</v>
      </c>
      <c r="F69" s="21">
        <v>0.83898305892944336</v>
      </c>
      <c r="G69" s="21">
        <v>0.44915252923965449</v>
      </c>
      <c r="H69" s="21">
        <v>0.56779658794403076</v>
      </c>
      <c r="L69" s="71"/>
    </row>
    <row r="70" spans="1:12" s="7" customFormat="1" x14ac:dyDescent="0.45">
      <c r="A70" s="7" t="s">
        <v>394</v>
      </c>
      <c r="B70" s="7" t="str">
        <f>VLOOKUP(C70,'Organisation names'!$B$4:$D$130,3,FALSE)</f>
        <v>West Midlands</v>
      </c>
      <c r="C70" s="69" t="s">
        <v>70</v>
      </c>
      <c r="D70" s="7" t="str">
        <f>VLOOKUP(C70,'Organisation names'!$B$4:$D$130,2,FALSE)</f>
        <v>Wye Valley NHS Trust</v>
      </c>
      <c r="E70" s="70">
        <v>66</v>
      </c>
      <c r="F70" s="21">
        <v>0.54545456171035767</v>
      </c>
      <c r="G70" s="21">
        <v>0.53030300140380859</v>
      </c>
      <c r="H70" s="21">
        <v>0.39393940567970281</v>
      </c>
      <c r="L70" s="71"/>
    </row>
    <row r="71" spans="1:12" s="7" customFormat="1" x14ac:dyDescent="0.45">
      <c r="A71" s="7" t="s">
        <v>394</v>
      </c>
      <c r="B71" s="7" t="str">
        <f>VLOOKUP(C71,'Organisation names'!$B$4:$D$130,3,FALSE)</f>
        <v>West Midlands</v>
      </c>
      <c r="C71" s="69" t="s">
        <v>71</v>
      </c>
      <c r="D71" s="7" t="str">
        <f>VLOOKUP(C71,'Organisation names'!$B$4:$D$130,2,FALSE)</f>
        <v>George Eliot Hospital NHS Trust</v>
      </c>
      <c r="E71" s="70">
        <v>48</v>
      </c>
      <c r="F71" s="21">
        <v>0.72916668653488159</v>
      </c>
      <c r="G71" s="21">
        <v>0.77083331346511841</v>
      </c>
      <c r="H71" s="21">
        <v>0.70833331346511841</v>
      </c>
      <c r="L71" s="71"/>
    </row>
    <row r="72" spans="1:12" s="7" customFormat="1" x14ac:dyDescent="0.45">
      <c r="A72" s="7" t="s">
        <v>394</v>
      </c>
      <c r="B72" s="7" t="str">
        <f>VLOOKUP(C72,'Organisation names'!$B$4:$D$130,3,FALSE)</f>
        <v>East of England</v>
      </c>
      <c r="C72" s="69" t="s">
        <v>72</v>
      </c>
      <c r="D72" s="7" t="str">
        <f>VLOOKUP(C72,'Organisation names'!$B$4:$D$130,2,FALSE)</f>
        <v>Norfolk and Norwich University Hospitals NHS Foundation Trust</v>
      </c>
      <c r="E72" s="70">
        <v>271</v>
      </c>
      <c r="F72" s="21">
        <v>0.7712177038192749</v>
      </c>
      <c r="G72" s="21">
        <v>0.52029520273208618</v>
      </c>
      <c r="H72" s="21">
        <v>0.75645756721496582</v>
      </c>
      <c r="L72" s="71"/>
    </row>
    <row r="73" spans="1:12" s="7" customFormat="1" x14ac:dyDescent="0.45">
      <c r="A73" s="7" t="s">
        <v>394</v>
      </c>
      <c r="B73" s="7" t="str">
        <f>VLOOKUP(C73,'Organisation names'!$B$4:$D$130,3,FALSE)</f>
        <v>Greater Manchester</v>
      </c>
      <c r="C73" s="69" t="s">
        <v>73</v>
      </c>
      <c r="D73" s="7" t="str">
        <f>VLOOKUP(C73,'Organisation names'!$B$4:$D$130,2,FALSE)</f>
        <v>Northern Care Alliance NHS Foundation Trust</v>
      </c>
      <c r="E73" s="70">
        <v>249</v>
      </c>
      <c r="F73" s="21">
        <v>0.85943776369094849</v>
      </c>
      <c r="G73" s="21">
        <v>0.74698793888092041</v>
      </c>
      <c r="H73" s="21">
        <v>0.1445783078670502</v>
      </c>
      <c r="L73" s="71"/>
    </row>
    <row r="74" spans="1:12" s="7" customFormat="1" x14ac:dyDescent="0.45">
      <c r="A74" s="7" t="s">
        <v>394</v>
      </c>
      <c r="B74" s="7" t="str">
        <f>VLOOKUP(C74,'Organisation names'!$B$4:$D$130,3,FALSE)</f>
        <v>Greater Manchester</v>
      </c>
      <c r="C74" s="69" t="s">
        <v>74</v>
      </c>
      <c r="D74" s="7" t="str">
        <f>VLOOKUP(C74,'Organisation names'!$B$4:$D$130,2,FALSE)</f>
        <v>Bolton NHS Foundation Trust</v>
      </c>
      <c r="E74" s="70">
        <v>74</v>
      </c>
      <c r="F74" s="21">
        <v>0.87837839126586914</v>
      </c>
      <c r="G74" s="21">
        <v>0.68918919563293457</v>
      </c>
      <c r="H74" s="21">
        <v>0.54054051637649536</v>
      </c>
      <c r="L74" s="71"/>
    </row>
    <row r="75" spans="1:12" s="7" customFormat="1" x14ac:dyDescent="0.45">
      <c r="A75" s="7" t="s">
        <v>394</v>
      </c>
      <c r="B75" s="7" t="str">
        <f>VLOOKUP(C75,'Organisation names'!$B$4:$D$130,3,FALSE)</f>
        <v>Greater Manchester</v>
      </c>
      <c r="C75" s="69" t="s">
        <v>75</v>
      </c>
      <c r="D75" s="7" t="str">
        <f>VLOOKUP(C75,'Organisation names'!$B$4:$D$130,2,FALSE)</f>
        <v>Tameside and Glossop Integrated Care NHS Foundation Trust</v>
      </c>
      <c r="E75" s="70">
        <v>56</v>
      </c>
      <c r="F75" s="21">
        <v>0.69642859697341919</v>
      </c>
      <c r="G75" s="21">
        <v>0.71428573131561279</v>
      </c>
      <c r="H75" s="21">
        <v>0.67857140302658081</v>
      </c>
      <c r="L75" s="71"/>
    </row>
    <row r="76" spans="1:12" s="7" customFormat="1" x14ac:dyDescent="0.45">
      <c r="A76" s="7" t="s">
        <v>394</v>
      </c>
      <c r="B76" s="7" t="str">
        <f>VLOOKUP(C76,'Organisation names'!$B$4:$D$130,3,FALSE)</f>
        <v>Thames Valley</v>
      </c>
      <c r="C76" s="69" t="s">
        <v>76</v>
      </c>
      <c r="D76" s="7" t="str">
        <f>VLOOKUP(C76,'Organisation names'!$B$4:$D$130,2,FALSE)</f>
        <v>Great Western Hospitals NHS Foundation Trust</v>
      </c>
      <c r="E76" s="70">
        <v>111</v>
      </c>
      <c r="F76" s="21">
        <v>0.8468468189239502</v>
      </c>
      <c r="G76" s="21">
        <v>0.63963961601257324</v>
      </c>
      <c r="H76" s="21">
        <v>0.80180180072784424</v>
      </c>
      <c r="L76" s="71"/>
    </row>
    <row r="77" spans="1:12" s="7" customFormat="1" x14ac:dyDescent="0.45">
      <c r="A77" s="7" t="s">
        <v>394</v>
      </c>
      <c r="B77" s="7" t="str">
        <f>VLOOKUP(C77,'Organisation names'!$B$4:$D$130,3,FALSE)</f>
        <v>Wessex</v>
      </c>
      <c r="C77" s="69" t="s">
        <v>77</v>
      </c>
      <c r="D77" s="7" t="str">
        <f>VLOOKUP(C77,'Organisation names'!$B$4:$D$130,2,FALSE)</f>
        <v>Hampshire Hospitals NHS Foundation Trust</v>
      </c>
      <c r="E77" s="70">
        <v>137</v>
      </c>
      <c r="F77" s="21">
        <v>0.69343066215515137</v>
      </c>
      <c r="G77" s="21">
        <v>0.74452555179595947</v>
      </c>
      <c r="H77" s="21">
        <v>0.71532845497131348</v>
      </c>
      <c r="L77" s="71"/>
    </row>
    <row r="78" spans="1:12" s="7" customFormat="1" x14ac:dyDescent="0.45">
      <c r="A78" s="7" t="s">
        <v>394</v>
      </c>
      <c r="B78" s="7" t="str">
        <f>VLOOKUP(C78,'Organisation names'!$B$4:$D$130,3,FALSE)</f>
        <v>Kent and Medway</v>
      </c>
      <c r="C78" s="69" t="s">
        <v>78</v>
      </c>
      <c r="D78" s="7" t="str">
        <f>VLOOKUP(C78,'Organisation names'!$B$4:$D$130,2,FALSE)</f>
        <v>Dartford and Gravesham NHS Trust</v>
      </c>
      <c r="E78" s="70">
        <v>85</v>
      </c>
      <c r="F78" s="21">
        <v>0.82352942228317261</v>
      </c>
      <c r="G78" s="21">
        <v>0.76470589637756348</v>
      </c>
      <c r="H78" s="21">
        <v>0.75294119119644165</v>
      </c>
      <c r="L78" s="71"/>
    </row>
    <row r="79" spans="1:12" s="7" customFormat="1" x14ac:dyDescent="0.45">
      <c r="A79" s="7" t="s">
        <v>394</v>
      </c>
      <c r="B79" s="7" t="str">
        <f>VLOOKUP(C79,'Organisation names'!$B$4:$D$130,3,FALSE)</f>
        <v>West Midlands</v>
      </c>
      <c r="C79" s="69" t="s">
        <v>79</v>
      </c>
      <c r="D79" s="7" t="str">
        <f>VLOOKUP(C79,'Organisation names'!$B$4:$D$130,2,FALSE)</f>
        <v>The Dudley Group NHS Foundation Trust</v>
      </c>
      <c r="E79" s="70">
        <v>132</v>
      </c>
      <c r="F79" s="21">
        <v>0.69696968793869019</v>
      </c>
      <c r="G79" s="21">
        <v>0.31818181276321411</v>
      </c>
      <c r="H79" s="21">
        <v>0.55303031206130981</v>
      </c>
      <c r="L79" s="71"/>
    </row>
    <row r="80" spans="1:12" s="7" customFormat="1" x14ac:dyDescent="0.45">
      <c r="A80" s="7" t="s">
        <v>394</v>
      </c>
      <c r="B80" s="7" t="str">
        <f>VLOOKUP(C80,'Organisation names'!$B$4:$D$130,3,FALSE)</f>
        <v>Northern</v>
      </c>
      <c r="C80" s="69" t="s">
        <v>80</v>
      </c>
      <c r="D80" s="7" t="str">
        <f>VLOOKUP(C80,'Organisation names'!$B$4:$D$130,2,FALSE)</f>
        <v>North Cumbria Integrated Care NHS Foundation Trust</v>
      </c>
      <c r="E80" s="70">
        <v>89</v>
      </c>
      <c r="F80" s="21">
        <v>0.50561797618865967</v>
      </c>
      <c r="G80" s="21">
        <v>0.19101123511791229</v>
      </c>
      <c r="H80" s="21">
        <v>0.14606741070747381</v>
      </c>
      <c r="L80" s="71"/>
    </row>
    <row r="81" spans="1:12" s="7" customFormat="1" x14ac:dyDescent="0.45">
      <c r="A81" s="7" t="s">
        <v>394</v>
      </c>
      <c r="B81" s="7" t="str">
        <f>VLOOKUP(C81,'Organisation names'!$B$4:$D$130,3,FALSE)</f>
        <v>East Midlands</v>
      </c>
      <c r="C81" s="69" t="s">
        <v>81</v>
      </c>
      <c r="D81" s="7" t="str">
        <f>VLOOKUP(C81,'Organisation names'!$B$4:$D$130,2,FALSE)</f>
        <v>Kettering General Hospital NHS Foundation Trust</v>
      </c>
      <c r="E81" s="70">
        <v>75</v>
      </c>
      <c r="F81" s="21">
        <v>0.65333330631256104</v>
      </c>
      <c r="G81" s="21">
        <v>0.14666666090488431</v>
      </c>
      <c r="H81" s="21">
        <v>0.14666666090488431</v>
      </c>
      <c r="L81" s="71"/>
    </row>
    <row r="82" spans="1:12" s="7" customFormat="1" x14ac:dyDescent="0.45">
      <c r="A82" s="7" t="s">
        <v>394</v>
      </c>
      <c r="B82" s="7" t="str">
        <f>VLOOKUP(C82,'Organisation names'!$B$4:$D$130,3,FALSE)</f>
        <v>East Midlands</v>
      </c>
      <c r="C82" s="69" t="s">
        <v>82</v>
      </c>
      <c r="D82" s="7" t="str">
        <f>VLOOKUP(C82,'Organisation names'!$B$4:$D$130,2,FALSE)</f>
        <v>Northampton General Hospital NHS Trust</v>
      </c>
      <c r="E82" s="70">
        <v>100</v>
      </c>
      <c r="F82" s="21">
        <v>0.75999999046325684</v>
      </c>
      <c r="G82" s="21">
        <v>0.4699999988079071</v>
      </c>
      <c r="H82" s="21">
        <v>0.47999998927116388</v>
      </c>
      <c r="L82" s="71"/>
    </row>
    <row r="83" spans="1:12" s="7" customFormat="1" x14ac:dyDescent="0.45">
      <c r="A83" s="7" t="s">
        <v>394</v>
      </c>
      <c r="B83" s="7" t="str">
        <f>VLOOKUP(C83,'Organisation names'!$B$4:$D$130,3,FALSE)</f>
        <v>Somerset, Wiltshire, Avon and Gloucestershire</v>
      </c>
      <c r="C83" s="69" t="s">
        <v>83</v>
      </c>
      <c r="D83" s="7" t="str">
        <f>VLOOKUP(C83,'Organisation names'!$B$4:$D$130,2,FALSE)</f>
        <v>Salisbury NHS Foundation Trust</v>
      </c>
      <c r="E83" s="70">
        <v>86</v>
      </c>
      <c r="F83" s="21">
        <v>0.88372093439102173</v>
      </c>
      <c r="G83" s="21">
        <v>0.53488373756408691</v>
      </c>
      <c r="H83" s="21">
        <v>0.44186046719551092</v>
      </c>
      <c r="L83" s="71"/>
    </row>
    <row r="84" spans="1:12" s="7" customFormat="1" x14ac:dyDescent="0.45">
      <c r="A84" s="7" t="s">
        <v>394</v>
      </c>
      <c r="B84" s="7" t="str">
        <f>VLOOKUP(C84,'Organisation names'!$B$4:$D$130,3,FALSE)</f>
        <v>South Yorkshire and Bassetlaw</v>
      </c>
      <c r="C84" s="69" t="s">
        <v>84</v>
      </c>
      <c r="D84" s="7" t="str">
        <f>VLOOKUP(C84,'Organisation names'!$B$4:$D$130,2,FALSE)</f>
        <v>Doncaster and Bassetlaw Teaching Hospitals NHS Foundation Trust</v>
      </c>
      <c r="E84" s="70">
        <v>147</v>
      </c>
      <c r="F84" s="21">
        <v>0.69387757778167725</v>
      </c>
      <c r="G84" s="21">
        <v>0.60544216632843018</v>
      </c>
      <c r="H84" s="21">
        <v>0.75510203838348389</v>
      </c>
      <c r="L84" s="71"/>
    </row>
    <row r="85" spans="1:12" s="7" customFormat="1" x14ac:dyDescent="0.45">
      <c r="A85" s="7" t="s">
        <v>394</v>
      </c>
      <c r="B85" s="7" t="str">
        <f>VLOOKUP(C85,'Organisation names'!$B$4:$D$130,3,FALSE)</f>
        <v>Kent and Medway</v>
      </c>
      <c r="C85" s="69" t="s">
        <v>85</v>
      </c>
      <c r="D85" s="7" t="str">
        <f>VLOOKUP(C85,'Organisation names'!$B$4:$D$130,2,FALSE)</f>
        <v>Medway NHS Foundation Trust</v>
      </c>
      <c r="E85" s="70">
        <v>111</v>
      </c>
      <c r="F85" s="21">
        <v>0.72072070837020874</v>
      </c>
      <c r="G85" s="21">
        <v>0.5765765905380249</v>
      </c>
      <c r="H85" s="21">
        <v>0.59459459781646729</v>
      </c>
      <c r="L85" s="71"/>
    </row>
    <row r="86" spans="1:12" s="7" customFormat="1" x14ac:dyDescent="0.45">
      <c r="A86" s="7" t="s">
        <v>394</v>
      </c>
      <c r="B86" s="7" t="str">
        <f>VLOOKUP(C86,'Organisation names'!$B$4:$D$130,3,FALSE)</f>
        <v>RM Partners</v>
      </c>
      <c r="C86" s="69" t="s">
        <v>86</v>
      </c>
      <c r="D86" s="7" t="str">
        <f>VLOOKUP(C86,'Organisation names'!$B$4:$D$130,2,FALSE)</f>
        <v>The Royal Marsden NHS Foundation Trust</v>
      </c>
      <c r="E86" s="70">
        <v>94</v>
      </c>
      <c r="F86" s="21">
        <v>0.73404252529144287</v>
      </c>
      <c r="G86" s="21">
        <v>0.65957444906234741</v>
      </c>
      <c r="H86" s="21">
        <v>0.28723403811454767</v>
      </c>
      <c r="L86" s="71"/>
    </row>
    <row r="87" spans="1:12" s="7" customFormat="1" x14ac:dyDescent="0.45">
      <c r="A87" s="7" t="s">
        <v>394</v>
      </c>
      <c r="B87" s="7" t="str">
        <f>VLOOKUP(C87,'Organisation names'!$B$4:$D$130,3,FALSE)</f>
        <v>RM Partners</v>
      </c>
      <c r="C87" s="69" t="s">
        <v>87</v>
      </c>
      <c r="D87" s="7" t="str">
        <f>VLOOKUP(C87,'Organisation names'!$B$4:$D$130,2,FALSE)</f>
        <v>Chelsea and Westminster Hospital NHS Foundation Trust</v>
      </c>
      <c r="E87" s="70">
        <v>114</v>
      </c>
      <c r="F87" s="21">
        <v>0.85087716579437256</v>
      </c>
      <c r="G87" s="21">
        <v>0.64035087823867798</v>
      </c>
      <c r="H87" s="21">
        <v>0.26315790414810181</v>
      </c>
      <c r="L87" s="71"/>
    </row>
    <row r="88" spans="1:12" s="7" customFormat="1" x14ac:dyDescent="0.45">
      <c r="A88" s="7" t="s">
        <v>394</v>
      </c>
      <c r="B88" s="7" t="str">
        <f>VLOOKUP(C88,'Organisation names'!$B$4:$D$130,3,FALSE)</f>
        <v>East of England</v>
      </c>
      <c r="C88" s="69" t="s">
        <v>88</v>
      </c>
      <c r="D88" s="7" t="str">
        <f>VLOOKUP(C88,'Organisation names'!$B$4:$D$130,2,FALSE)</f>
        <v>The Princess Alexandra Hospital NHS Trust</v>
      </c>
      <c r="E88" s="70">
        <v>60</v>
      </c>
      <c r="F88" s="21">
        <v>0.81666666269302368</v>
      </c>
      <c r="G88" s="21">
        <v>0.64999997615814209</v>
      </c>
      <c r="H88" s="21">
        <v>0.21666666865348819</v>
      </c>
      <c r="L88" s="71"/>
    </row>
    <row r="89" spans="1:12" s="7" customFormat="1" x14ac:dyDescent="0.45">
      <c r="A89" s="7" t="s">
        <v>394</v>
      </c>
      <c r="B89" s="7" t="str">
        <f>VLOOKUP(C89,'Organisation names'!$B$4:$D$130,3,FALSE)</f>
        <v>North East London</v>
      </c>
      <c r="C89" s="69" t="s">
        <v>89</v>
      </c>
      <c r="D89" s="7" t="str">
        <f>VLOOKUP(C89,'Organisation names'!$B$4:$D$130,2,FALSE)</f>
        <v>Homerton Healthcare NHS Foundation Trust</v>
      </c>
      <c r="E89" s="70">
        <v>44</v>
      </c>
      <c r="F89" s="21">
        <v>0.72727274894714355</v>
      </c>
      <c r="G89" s="21">
        <v>2.272727340459824E-2</v>
      </c>
      <c r="H89" s="21">
        <v>0.18181818723678589</v>
      </c>
      <c r="L89" s="71"/>
    </row>
    <row r="90" spans="1:12" s="7" customFormat="1" x14ac:dyDescent="0.45">
      <c r="A90" s="7" t="s">
        <v>394</v>
      </c>
      <c r="B90" s="7" t="str">
        <f>VLOOKUP(C90,'Organisation names'!$B$4:$D$130,3,FALSE)</f>
        <v>Northern</v>
      </c>
      <c r="C90" s="69" t="s">
        <v>90</v>
      </c>
      <c r="D90" s="7" t="str">
        <f>VLOOKUP(C90,'Organisation names'!$B$4:$D$130,2,FALSE)</f>
        <v>Gateshead Health NHS Foundation Trust</v>
      </c>
      <c r="E90" s="70">
        <v>56</v>
      </c>
      <c r="F90" s="21">
        <v>0.6428571343421936</v>
      </c>
      <c r="G90" s="21">
        <v>0.5178571343421936</v>
      </c>
      <c r="H90" s="21">
        <v>0.6071428656578064</v>
      </c>
      <c r="L90" s="71"/>
    </row>
    <row r="91" spans="1:12" s="7" customFormat="1" x14ac:dyDescent="0.45">
      <c r="A91" s="7" t="s">
        <v>394</v>
      </c>
      <c r="B91" s="7" t="str">
        <f>VLOOKUP(C91,'Organisation names'!$B$4:$D$130,3,FALSE)</f>
        <v>West Yorkshire and Harrogate</v>
      </c>
      <c r="C91" s="69" t="s">
        <v>91</v>
      </c>
      <c r="D91" s="7" t="str">
        <f>VLOOKUP(C91,'Organisation names'!$B$4:$D$130,2,FALSE)</f>
        <v>Leeds Teaching Hospitals NHS Trust</v>
      </c>
      <c r="E91" s="70">
        <v>262</v>
      </c>
      <c r="F91" s="21">
        <v>0.93511450290679932</v>
      </c>
      <c r="G91" s="21">
        <v>0.35114502906799322</v>
      </c>
      <c r="H91" s="21">
        <v>0.81679391860961914</v>
      </c>
      <c r="L91" s="71"/>
    </row>
    <row r="92" spans="1:12" s="7" customFormat="1" x14ac:dyDescent="0.45">
      <c r="A92" s="7" t="s">
        <v>394</v>
      </c>
      <c r="B92" s="7" t="str">
        <f>VLOOKUP(C92,'Organisation names'!$B$4:$D$130,3,FALSE)</f>
        <v>Greater Manchester</v>
      </c>
      <c r="C92" s="69" t="s">
        <v>92</v>
      </c>
      <c r="D92" s="7" t="str">
        <f>VLOOKUP(C92,'Organisation names'!$B$4:$D$130,2,FALSE)</f>
        <v>Wrightington, Wigan and Leigh NHS Foundation Trust</v>
      </c>
      <c r="E92" s="70">
        <v>98</v>
      </c>
      <c r="F92" s="21">
        <v>0.89795917272567749</v>
      </c>
      <c r="G92" s="21">
        <v>0.8571428656578064</v>
      </c>
      <c r="H92" s="21">
        <v>0.72448980808258057</v>
      </c>
      <c r="L92" s="71"/>
    </row>
    <row r="93" spans="1:12" s="7" customFormat="1" x14ac:dyDescent="0.45">
      <c r="A93" s="7" t="s">
        <v>394</v>
      </c>
      <c r="B93" s="7" t="str">
        <f>VLOOKUP(C93,'Organisation names'!$B$4:$D$130,3,FALSE)</f>
        <v>West Midlands</v>
      </c>
      <c r="C93" s="69" t="s">
        <v>93</v>
      </c>
      <c r="D93" s="7" t="str">
        <f>VLOOKUP(C93,'Organisation names'!$B$4:$D$130,2,FALSE)</f>
        <v>University Hospitals Birmingham NHS Foundation Trust</v>
      </c>
      <c r="E93" s="70">
        <v>368</v>
      </c>
      <c r="F93" s="21">
        <v>0.62228262424468994</v>
      </c>
      <c r="G93" s="21">
        <v>0.375</v>
      </c>
      <c r="H93" s="21">
        <v>0.36684781312942499</v>
      </c>
      <c r="L93" s="71"/>
    </row>
    <row r="94" spans="1:12" s="7" customFormat="1" x14ac:dyDescent="0.45">
      <c r="A94" s="7" t="s">
        <v>394</v>
      </c>
      <c r="B94" s="7" t="str">
        <f>VLOOKUP(C94,'Organisation names'!$B$4:$D$130,3,FALSE)</f>
        <v>North Central London</v>
      </c>
      <c r="C94" s="69" t="s">
        <v>94</v>
      </c>
      <c r="D94" s="7" t="str">
        <f>VLOOKUP(C94,'Organisation names'!$B$4:$D$130,2,FALSE)</f>
        <v>University College London Hospitals NHS Foundation Trust</v>
      </c>
      <c r="E94" s="70">
        <v>57</v>
      </c>
      <c r="F94" s="21">
        <v>0.3333333432674408</v>
      </c>
      <c r="G94" s="21">
        <v>0.14035087823867801</v>
      </c>
      <c r="H94" s="21">
        <v>5.2631579339504242E-2</v>
      </c>
      <c r="L94" s="71"/>
    </row>
    <row r="95" spans="1:12" s="7" customFormat="1" x14ac:dyDescent="0.45">
      <c r="A95" s="7" t="s">
        <v>394</v>
      </c>
      <c r="B95" s="7" t="str">
        <f>VLOOKUP(C95,'Organisation names'!$B$4:$D$130,3,FALSE)</f>
        <v>Northern</v>
      </c>
      <c r="C95" s="69" t="s">
        <v>95</v>
      </c>
      <c r="D95" s="7" t="str">
        <f>VLOOKUP(C95,'Organisation names'!$B$4:$D$130,2,FALSE)</f>
        <v>The Newcastle Upon Tyne Hospitals NHS Foundation Trust</v>
      </c>
      <c r="E95" s="70">
        <v>326</v>
      </c>
      <c r="F95" s="21">
        <v>0.61963188648223877</v>
      </c>
      <c r="G95" s="21">
        <v>0.68711656332015991</v>
      </c>
      <c r="H95" s="21">
        <v>0.69631904363632202</v>
      </c>
      <c r="L95" s="71"/>
    </row>
    <row r="96" spans="1:12" s="7" customFormat="1" x14ac:dyDescent="0.45">
      <c r="A96" s="7" t="s">
        <v>394</v>
      </c>
      <c r="B96" s="7" t="str">
        <f>VLOOKUP(C96,'Organisation names'!$B$4:$D$130,3,FALSE)</f>
        <v>Somerset, Wiltshire, Avon and Gloucestershire</v>
      </c>
      <c r="C96" s="69" t="s">
        <v>96</v>
      </c>
      <c r="D96" s="7" t="str">
        <f>VLOOKUP(C96,'Organisation names'!$B$4:$D$130,2,FALSE)</f>
        <v>Gloucestershire Hospitals NHS Foundation Trust</v>
      </c>
      <c r="E96" s="70">
        <v>209</v>
      </c>
      <c r="F96" s="21">
        <v>0.90430623292922974</v>
      </c>
      <c r="G96" s="21">
        <v>0.84210526943206787</v>
      </c>
      <c r="H96" s="21">
        <v>0.81818181276321411</v>
      </c>
      <c r="L96" s="71"/>
    </row>
    <row r="97" spans="1:12" s="7" customFormat="1" x14ac:dyDescent="0.45">
      <c r="A97" s="7" t="s">
        <v>394</v>
      </c>
      <c r="B97" s="7" t="str">
        <f>VLOOKUP(C97,'Organisation names'!$B$4:$D$130,3,FALSE)</f>
        <v>Northern</v>
      </c>
      <c r="C97" s="69" t="s">
        <v>97</v>
      </c>
      <c r="D97" s="7" t="str">
        <f>VLOOKUP(C97,'Organisation names'!$B$4:$D$130,2,FALSE)</f>
        <v>Northumbria Healthcare NHS Foundation Trust</v>
      </c>
      <c r="E97" s="70">
        <v>118</v>
      </c>
      <c r="F97" s="21">
        <v>0.77118641138076782</v>
      </c>
      <c r="G97" s="21">
        <v>0.81355929374694824</v>
      </c>
      <c r="H97" s="21">
        <v>0.41525423526763922</v>
      </c>
      <c r="L97" s="71"/>
    </row>
    <row r="98" spans="1:12" s="7" customFormat="1" x14ac:dyDescent="0.45">
      <c r="A98" s="7" t="s">
        <v>394</v>
      </c>
      <c r="B98" s="7" t="str">
        <f>VLOOKUP(C98,'Organisation names'!$B$4:$D$130,3,FALSE)</f>
        <v>East Midlands</v>
      </c>
      <c r="C98" s="69" t="s">
        <v>98</v>
      </c>
      <c r="D98" s="7" t="str">
        <f>VLOOKUP(C98,'Organisation names'!$B$4:$D$130,2,FALSE)</f>
        <v>University Hospitals Of Derby and Burton NHS Foundation Trust</v>
      </c>
      <c r="E98" s="70">
        <v>242</v>
      </c>
      <c r="F98" s="21">
        <v>0.69008266925811768</v>
      </c>
      <c r="G98" s="21">
        <v>0.69834709167480469</v>
      </c>
      <c r="H98" s="21">
        <v>0.40495866537094122</v>
      </c>
      <c r="L98" s="71"/>
    </row>
    <row r="99" spans="1:12" s="7" customFormat="1" x14ac:dyDescent="0.45">
      <c r="A99" s="7" t="s">
        <v>394</v>
      </c>
      <c r="B99" s="7" t="str">
        <f>VLOOKUP(C99,'Organisation names'!$B$4:$D$130,3,FALSE)</f>
        <v>Thames Valley</v>
      </c>
      <c r="C99" s="69" t="s">
        <v>99</v>
      </c>
      <c r="D99" s="7" t="str">
        <f>VLOOKUP(C99,'Organisation names'!$B$4:$D$130,2,FALSE)</f>
        <v>Oxford University Hospitals NHS Foundation Trust</v>
      </c>
      <c r="E99" s="70">
        <v>264</v>
      </c>
      <c r="F99" s="21">
        <v>0.69696968793869019</v>
      </c>
      <c r="G99" s="21">
        <v>0.37878787517547607</v>
      </c>
      <c r="H99" s="21">
        <v>0.71590906381607056</v>
      </c>
      <c r="L99" s="71"/>
    </row>
    <row r="100" spans="1:12" s="7" customFormat="1" x14ac:dyDescent="0.45">
      <c r="A100" s="7" t="s">
        <v>394</v>
      </c>
      <c r="B100" s="7" t="str">
        <f>VLOOKUP(C100,'Organisation names'!$B$4:$D$130,3,FALSE)</f>
        <v>Surrey and Sussex</v>
      </c>
      <c r="C100" s="69" t="s">
        <v>100</v>
      </c>
      <c r="D100" s="7" t="str">
        <f>VLOOKUP(C100,'Organisation names'!$B$4:$D$130,2,FALSE)</f>
        <v>Ashford and St Peter's Hospitals NHS Foundation Trust</v>
      </c>
      <c r="E100" s="70">
        <v>118</v>
      </c>
      <c r="F100" s="21">
        <v>0.62711864709854126</v>
      </c>
      <c r="G100" s="21">
        <v>0.6355932354927063</v>
      </c>
      <c r="H100" s="21">
        <v>0.52542370557785034</v>
      </c>
      <c r="L100" s="71"/>
    </row>
    <row r="101" spans="1:12" s="7" customFormat="1" x14ac:dyDescent="0.45">
      <c r="A101" s="7" t="s">
        <v>394</v>
      </c>
      <c r="B101" s="7" t="str">
        <f>VLOOKUP(C101,'Organisation names'!$B$4:$D$130,3,FALSE)</f>
        <v>Surrey and Sussex</v>
      </c>
      <c r="C101" s="69" t="s">
        <v>101</v>
      </c>
      <c r="D101" s="7" t="str">
        <f>VLOOKUP(C101,'Organisation names'!$B$4:$D$130,2,FALSE)</f>
        <v>Surrey and Sussex Healthcare NHS Trust</v>
      </c>
      <c r="E101" s="70">
        <v>128</v>
      </c>
      <c r="F101" s="21">
        <v>0.5546875</v>
      </c>
      <c r="G101" s="21">
        <v>0.359375</v>
      </c>
      <c r="H101" s="21">
        <v>0.3046875</v>
      </c>
      <c r="L101" s="71"/>
    </row>
    <row r="102" spans="1:12" s="7" customFormat="1" x14ac:dyDescent="0.45">
      <c r="A102" s="7" t="s">
        <v>394</v>
      </c>
      <c r="B102" s="7" t="str">
        <f>VLOOKUP(C102,'Organisation names'!$B$4:$D$130,3,FALSE)</f>
        <v>Northern</v>
      </c>
      <c r="C102" s="69" t="s">
        <v>102</v>
      </c>
      <c r="D102" s="7" t="str">
        <f>VLOOKUP(C102,'Organisation names'!$B$4:$D$130,2,FALSE)</f>
        <v>South Tees Hospitals NHS Foundation Trust</v>
      </c>
      <c r="E102" s="70">
        <v>120</v>
      </c>
      <c r="F102" s="21">
        <v>0.47499999403953552</v>
      </c>
      <c r="G102" s="21">
        <v>0.3333333432674408</v>
      </c>
      <c r="H102" s="21">
        <v>0.34166666865348821</v>
      </c>
      <c r="L102" s="71"/>
    </row>
    <row r="103" spans="1:12" s="7" customFormat="1" x14ac:dyDescent="0.45">
      <c r="A103" s="7" t="s">
        <v>394</v>
      </c>
      <c r="B103" s="7" t="str">
        <f>VLOOKUP(C103,'Organisation names'!$B$4:$D$130,3,FALSE)</f>
        <v>Lancashire and South Cumbria</v>
      </c>
      <c r="C103" s="69" t="s">
        <v>103</v>
      </c>
      <c r="D103" s="7" t="str">
        <f>VLOOKUP(C103,'Organisation names'!$B$4:$D$130,2,FALSE)</f>
        <v>University Hospitals Of Morecambe Bay NHS Foundation Trust</v>
      </c>
      <c r="E103" s="70">
        <v>100</v>
      </c>
      <c r="F103" s="21">
        <v>0.73000001907348633</v>
      </c>
      <c r="G103" s="21">
        <v>0.76999998092651367</v>
      </c>
      <c r="H103" s="21">
        <v>0.80000001192092896</v>
      </c>
      <c r="L103" s="71"/>
    </row>
    <row r="104" spans="1:12" s="7" customFormat="1" x14ac:dyDescent="0.45">
      <c r="A104" s="7" t="s">
        <v>394</v>
      </c>
      <c r="B104" s="7" t="str">
        <f>VLOOKUP(C104,'Organisation names'!$B$4:$D$130,3,FALSE)</f>
        <v>Somerset, Wiltshire, Avon and Gloucestershire</v>
      </c>
      <c r="C104" s="69" t="s">
        <v>104</v>
      </c>
      <c r="D104" s="7" t="str">
        <f>VLOOKUP(C104,'Organisation names'!$B$4:$D$130,2,FALSE)</f>
        <v>North Bristol NHS Trust</v>
      </c>
      <c r="E104" s="70">
        <v>91</v>
      </c>
      <c r="F104" s="21">
        <v>0.64835166931152344</v>
      </c>
      <c r="G104" s="21">
        <v>0</v>
      </c>
      <c r="H104" s="21">
        <v>0.20879121124744421</v>
      </c>
      <c r="L104" s="71"/>
    </row>
    <row r="105" spans="1:12" s="7" customFormat="1" x14ac:dyDescent="0.45">
      <c r="A105" s="7" t="s">
        <v>394</v>
      </c>
      <c r="B105" s="7" t="str">
        <f>VLOOKUP(C105,'Organisation names'!$B$4:$D$130,3,FALSE)</f>
        <v>RM Partners</v>
      </c>
      <c r="C105" s="69" t="s">
        <v>105</v>
      </c>
      <c r="D105" s="7" t="str">
        <f>VLOOKUP(C105,'Organisation names'!$B$4:$D$130,2,FALSE)</f>
        <v>Epsom and St Helier University Hospitals NHS Trust</v>
      </c>
      <c r="E105" s="70">
        <v>88</v>
      </c>
      <c r="F105" s="21">
        <v>0.63636362552642822</v>
      </c>
      <c r="G105" s="21">
        <v>0.61363637447357178</v>
      </c>
      <c r="H105" s="21">
        <v>5.681818351149559E-2</v>
      </c>
      <c r="L105" s="71"/>
    </row>
    <row r="106" spans="1:12" s="7" customFormat="1" x14ac:dyDescent="0.45">
      <c r="A106" s="7" t="s">
        <v>394</v>
      </c>
      <c r="B106" s="7" t="str">
        <f>VLOOKUP(C106,'Organisation names'!$B$4:$D$130,3,FALSE)</f>
        <v>Kent and Medway</v>
      </c>
      <c r="C106" s="69" t="s">
        <v>106</v>
      </c>
      <c r="D106" s="7" t="str">
        <f>VLOOKUP(C106,'Organisation names'!$B$4:$D$130,2,FALSE)</f>
        <v>East Kent Hospitals University NHS Foundation Trust</v>
      </c>
      <c r="E106" s="70">
        <v>240</v>
      </c>
      <c r="F106" s="21">
        <v>0.63749998807907104</v>
      </c>
      <c r="G106" s="21">
        <v>0.75</v>
      </c>
      <c r="H106" s="21">
        <v>0.61666667461395264</v>
      </c>
      <c r="L106" s="71"/>
    </row>
    <row r="107" spans="1:12" s="7" customFormat="1" x14ac:dyDescent="0.45">
      <c r="A107" s="7" t="s">
        <v>394</v>
      </c>
      <c r="B107" s="7" t="str">
        <f>VLOOKUP(C107,'Organisation names'!$B$4:$D$130,3,FALSE)</f>
        <v>Northern</v>
      </c>
      <c r="C107" s="69" t="s">
        <v>107</v>
      </c>
      <c r="D107" s="7" t="str">
        <f>VLOOKUP(C107,'Organisation names'!$B$4:$D$130,2,FALSE)</f>
        <v>North Tees and Hartlepool NHS Foundation Trust</v>
      </c>
      <c r="E107" s="70">
        <v>105</v>
      </c>
      <c r="F107" s="21">
        <v>0.77142858505249023</v>
      </c>
      <c r="G107" s="21">
        <v>0.84761905670166016</v>
      </c>
      <c r="H107" s="21">
        <v>0.84761905670166016</v>
      </c>
      <c r="L107" s="71"/>
    </row>
    <row r="108" spans="1:12" s="7" customFormat="1" x14ac:dyDescent="0.45">
      <c r="A108" s="7" t="s">
        <v>394</v>
      </c>
      <c r="B108" s="7" t="str">
        <f>VLOOKUP(C108,'Organisation names'!$B$4:$D$130,3,FALSE)</f>
        <v>Humber and North Yorkshire</v>
      </c>
      <c r="C108" s="69" t="s">
        <v>108</v>
      </c>
      <c r="D108" s="7" t="str">
        <f>VLOOKUP(C108,'Organisation names'!$B$4:$D$130,2,FALSE)</f>
        <v>Hull University Teaching Hospitals NHS Trust</v>
      </c>
      <c r="E108" s="70">
        <v>221</v>
      </c>
      <c r="F108" s="21">
        <v>0.72850680351257324</v>
      </c>
      <c r="G108" s="21">
        <v>0.60180997848510742</v>
      </c>
      <c r="H108" s="21">
        <v>0.72850680351257324</v>
      </c>
      <c r="L108" s="71"/>
    </row>
    <row r="109" spans="1:12" s="7" customFormat="1" x14ac:dyDescent="0.45">
      <c r="A109" s="7" t="s">
        <v>394</v>
      </c>
      <c r="B109" s="7" t="str">
        <f>VLOOKUP(C109,'Organisation names'!$B$4:$D$130,3,FALSE)</f>
        <v>East Midlands</v>
      </c>
      <c r="C109" s="69" t="s">
        <v>109</v>
      </c>
      <c r="D109" s="7" t="str">
        <f>VLOOKUP(C109,'Organisation names'!$B$4:$D$130,2,FALSE)</f>
        <v>United Lincolnshire Teaching Hospitals NHS Trust</v>
      </c>
      <c r="E109" s="70">
        <v>173</v>
      </c>
      <c r="F109" s="21">
        <v>0.72254335880279541</v>
      </c>
      <c r="G109" s="21">
        <v>0.58381503820419312</v>
      </c>
      <c r="H109" s="21">
        <v>2.3121386766433719E-2</v>
      </c>
      <c r="L109" s="71"/>
    </row>
    <row r="110" spans="1:12" s="7" customFormat="1" x14ac:dyDescent="0.45">
      <c r="A110" s="7" t="s">
        <v>394</v>
      </c>
      <c r="B110" s="7" t="str">
        <f>VLOOKUP(C110,'Organisation names'!$B$4:$D$130,3,FALSE)</f>
        <v>East Midlands</v>
      </c>
      <c r="C110" s="69" t="s">
        <v>110</v>
      </c>
      <c r="D110" s="7" t="str">
        <f>VLOOKUP(C110,'Organisation names'!$B$4:$D$130,2,FALSE)</f>
        <v>University Hospitals Of Leicester NHS Trust</v>
      </c>
      <c r="E110" s="70">
        <v>293</v>
      </c>
      <c r="F110" s="21">
        <v>0.56313991546630859</v>
      </c>
      <c r="G110" s="21">
        <v>4.0955632925033569E-2</v>
      </c>
      <c r="H110" s="21">
        <v>6.8259388208389282E-2</v>
      </c>
      <c r="L110" s="71"/>
    </row>
    <row r="111" spans="1:12" s="7" customFormat="1" x14ac:dyDescent="0.45">
      <c r="A111" s="7" t="s">
        <v>394</v>
      </c>
      <c r="B111" s="7" t="str">
        <f>VLOOKUP(C111,'Organisation names'!$B$4:$D$130,3,FALSE)</f>
        <v>Kent and Medway</v>
      </c>
      <c r="C111" s="69" t="s">
        <v>111</v>
      </c>
      <c r="D111" s="7" t="str">
        <f>VLOOKUP(C111,'Organisation names'!$B$4:$D$130,2,FALSE)</f>
        <v>Maidstone and Tunbridge Wells NHS Trust</v>
      </c>
      <c r="E111" s="70">
        <v>155</v>
      </c>
      <c r="F111" s="21">
        <v>0.77419352531433105</v>
      </c>
      <c r="G111" s="21">
        <v>0.59354835748672485</v>
      </c>
      <c r="H111" s="21">
        <v>0.42580646276473999</v>
      </c>
      <c r="L111" s="71"/>
    </row>
    <row r="112" spans="1:12" s="7" customFormat="1" x14ac:dyDescent="0.45">
      <c r="A112" s="7" t="s">
        <v>394</v>
      </c>
      <c r="B112" s="7" t="str">
        <f>VLOOKUP(C112,'Organisation names'!$B$4:$D$130,3,FALSE)</f>
        <v>East of England</v>
      </c>
      <c r="C112" s="69" t="s">
        <v>112</v>
      </c>
      <c r="D112" s="7" t="str">
        <f>VLOOKUP(C112,'Organisation names'!$B$4:$D$130,2,FALSE)</f>
        <v>West Hertfordshire Teaching Hospitals NHS Trust</v>
      </c>
      <c r="E112" s="70">
        <v>137</v>
      </c>
      <c r="F112" s="21">
        <v>0.9197080135345459</v>
      </c>
      <c r="G112" s="21">
        <v>0.86861312389373779</v>
      </c>
      <c r="H112" s="21">
        <v>0.80291968584060669</v>
      </c>
      <c r="L112" s="71"/>
    </row>
    <row r="113" spans="1:12" s="7" customFormat="1" x14ac:dyDescent="0.45">
      <c r="A113" s="7" t="s">
        <v>394</v>
      </c>
      <c r="B113" s="7" t="str">
        <f>VLOOKUP(C113,'Organisation names'!$B$4:$D$130,3,FALSE)</f>
        <v>East of England</v>
      </c>
      <c r="C113" s="69" t="s">
        <v>113</v>
      </c>
      <c r="D113" s="7" t="str">
        <f>VLOOKUP(C113,'Organisation names'!$B$4:$D$130,2,FALSE)</f>
        <v>East and North Hertfordshire NHS Trust</v>
      </c>
      <c r="E113" s="70">
        <v>102</v>
      </c>
      <c r="F113" s="21">
        <v>0.49019607901573181</v>
      </c>
      <c r="G113" s="21">
        <v>0.15686275064945221</v>
      </c>
      <c r="H113" s="21">
        <v>0.3333333432674408</v>
      </c>
      <c r="L113" s="71"/>
    </row>
    <row r="114" spans="1:12" s="7" customFormat="1" x14ac:dyDescent="0.45">
      <c r="A114" s="7" t="s">
        <v>394</v>
      </c>
      <c r="B114" s="7" t="str">
        <f>VLOOKUP(C114,'Organisation names'!$B$4:$D$130,3,FALSE)</f>
        <v>Greater Manchester</v>
      </c>
      <c r="C114" s="69" t="s">
        <v>114</v>
      </c>
      <c r="D114" s="7" t="str">
        <f>VLOOKUP(C114,'Organisation names'!$B$4:$D$130,2,FALSE)</f>
        <v>Stockport NHS Foundation Trust</v>
      </c>
      <c r="E114" s="70">
        <v>82</v>
      </c>
      <c r="F114" s="21">
        <v>0.82926827669143677</v>
      </c>
      <c r="G114" s="21">
        <v>0.353658527135849</v>
      </c>
      <c r="H114" s="21">
        <v>0.13414634764194491</v>
      </c>
      <c r="L114" s="71"/>
    </row>
    <row r="115" spans="1:12" s="7" customFormat="1" x14ac:dyDescent="0.45">
      <c r="A115" s="7" t="s">
        <v>394</v>
      </c>
      <c r="B115" s="7" t="str">
        <f>VLOOKUP(C115,'Organisation names'!$B$4:$D$130,3,FALSE)</f>
        <v>West Midlands</v>
      </c>
      <c r="C115" s="69" t="s">
        <v>115</v>
      </c>
      <c r="D115" s="7" t="str">
        <f>VLOOKUP(C115,'Organisation names'!$B$4:$D$130,2,FALSE)</f>
        <v>Worcestershire Acute Hospitals NHS Trust</v>
      </c>
      <c r="E115" s="70">
        <v>210</v>
      </c>
      <c r="F115" s="21">
        <v>0.91428571939468384</v>
      </c>
      <c r="G115" s="21">
        <v>0.8571428656578064</v>
      </c>
      <c r="H115" s="21">
        <v>0.60000002384185791</v>
      </c>
      <c r="L115" s="71"/>
    </row>
    <row r="116" spans="1:12" s="7" customFormat="1" x14ac:dyDescent="0.45">
      <c r="A116" s="7" t="s">
        <v>394</v>
      </c>
      <c r="B116" s="7" t="str">
        <f>VLOOKUP(C116,'Organisation names'!$B$4:$D$130,3,FALSE)</f>
        <v>Cheshire and Merseyside</v>
      </c>
      <c r="C116" s="69" t="s">
        <v>116</v>
      </c>
      <c r="D116" s="7" t="str">
        <f>VLOOKUP(C116,'Organisation names'!$B$4:$D$130,2,FALSE)</f>
        <v>Warrington and Halton Teaching Hospitals NHS Foundation Trust</v>
      </c>
      <c r="E116" s="70">
        <v>59</v>
      </c>
      <c r="F116" s="21">
        <v>0.77966099977493286</v>
      </c>
      <c r="G116" s="21">
        <v>0.69491523504257202</v>
      </c>
      <c r="H116" s="21">
        <v>0.4237288236618042</v>
      </c>
      <c r="L116" s="71"/>
    </row>
    <row r="117" spans="1:12" s="7" customFormat="1" x14ac:dyDescent="0.45">
      <c r="A117" s="7" t="s">
        <v>394</v>
      </c>
      <c r="B117" s="7" t="str">
        <f>VLOOKUP(C117,'Organisation names'!$B$4:$D$130,3,FALSE)</f>
        <v>West Yorkshire and Harrogate</v>
      </c>
      <c r="C117" s="69" t="s">
        <v>117</v>
      </c>
      <c r="D117" s="7" t="str">
        <f>VLOOKUP(C117,'Organisation names'!$B$4:$D$130,2,FALSE)</f>
        <v>Calderdale and Huddersfield NHS Foundation Trust</v>
      </c>
      <c r="E117" s="70">
        <v>132</v>
      </c>
      <c r="F117" s="21">
        <v>0.78030300140380859</v>
      </c>
      <c r="G117" s="21">
        <v>0.68181818723678589</v>
      </c>
      <c r="H117" s="21">
        <v>0.82575756311416626</v>
      </c>
      <c r="L117" s="71"/>
    </row>
    <row r="118" spans="1:12" s="7" customFormat="1" x14ac:dyDescent="0.45">
      <c r="A118" s="7" t="s">
        <v>394</v>
      </c>
      <c r="B118" s="7" t="str">
        <f>VLOOKUP(C118,'Organisation names'!$B$4:$D$130,3,FALSE)</f>
        <v>East Midlands</v>
      </c>
      <c r="C118" s="69" t="s">
        <v>118</v>
      </c>
      <c r="D118" s="7" t="str">
        <f>VLOOKUP(C118,'Organisation names'!$B$4:$D$130,2,FALSE)</f>
        <v>Nottingham University Hospitals NHS Trust</v>
      </c>
      <c r="E118" s="70">
        <v>357</v>
      </c>
      <c r="F118" s="21">
        <v>0.50140058994293213</v>
      </c>
      <c r="G118" s="21">
        <v>0.67787116765975952</v>
      </c>
      <c r="H118" s="21">
        <v>0.45658263564109802</v>
      </c>
      <c r="L118" s="71"/>
    </row>
    <row r="119" spans="1:12" s="7" customFormat="1" x14ac:dyDescent="0.45">
      <c r="A119" s="7" t="s">
        <v>394</v>
      </c>
      <c r="B119" s="7" t="str">
        <f>VLOOKUP(C119,'Organisation names'!$B$4:$D$130,3,FALSE)</f>
        <v>Surrey and Sussex</v>
      </c>
      <c r="C119" s="69" t="s">
        <v>119</v>
      </c>
      <c r="D119" s="7" t="str">
        <f>VLOOKUP(C119,'Organisation names'!$B$4:$D$130,2,FALSE)</f>
        <v>East Sussex Healthcare NHS Trust</v>
      </c>
      <c r="E119" s="70">
        <v>185</v>
      </c>
      <c r="F119" s="21">
        <v>0.57837837934494019</v>
      </c>
      <c r="G119" s="21">
        <v>0.1081081107258797</v>
      </c>
      <c r="H119" s="21">
        <v>0.22702702879905701</v>
      </c>
      <c r="L119" s="71"/>
    </row>
    <row r="120" spans="1:12" s="7" customFormat="1" x14ac:dyDescent="0.45">
      <c r="A120" s="7" t="s">
        <v>394</v>
      </c>
      <c r="B120" s="7" t="str">
        <f>VLOOKUP(C120,'Organisation names'!$B$4:$D$130,3,FALSE)</f>
        <v>West Yorkshire and Harrogate</v>
      </c>
      <c r="C120" s="69" t="s">
        <v>120</v>
      </c>
      <c r="D120" s="7" t="str">
        <f>VLOOKUP(C120,'Organisation names'!$B$4:$D$130,2,FALSE)</f>
        <v>Mid Yorkshire Teaching NHS Trust</v>
      </c>
      <c r="E120" s="70">
        <v>164</v>
      </c>
      <c r="F120" s="21">
        <v>0.62195122241973877</v>
      </c>
      <c r="G120" s="21">
        <v>0.43902438879013062</v>
      </c>
      <c r="H120" s="21">
        <v>0.43292683362960821</v>
      </c>
      <c r="L120" s="71"/>
    </row>
    <row r="121" spans="1:12" s="7" customFormat="1" x14ac:dyDescent="0.45">
      <c r="A121" s="7" t="s">
        <v>394</v>
      </c>
      <c r="B121" s="7" t="str">
        <f>VLOOKUP(C121,'Organisation names'!$B$4:$D$130,3,FALSE)</f>
        <v>West Midlands</v>
      </c>
      <c r="C121" s="69" t="s">
        <v>121</v>
      </c>
      <c r="D121" s="7" t="str">
        <f>VLOOKUP(C121,'Organisation names'!$B$4:$D$130,2,FALSE)</f>
        <v>Sandwell and West Birmingham Hospitals NHS Trust</v>
      </c>
      <c r="E121" s="70">
        <v>103</v>
      </c>
      <c r="F121" s="21">
        <v>0.7669903039932251</v>
      </c>
      <c r="G121" s="21">
        <v>0.55339807271957397</v>
      </c>
      <c r="H121" s="21">
        <v>0.41747573018074041</v>
      </c>
      <c r="L121" s="71"/>
    </row>
    <row r="122" spans="1:12" s="7" customFormat="1" x14ac:dyDescent="0.45">
      <c r="A122" s="7" t="s">
        <v>394</v>
      </c>
      <c r="B122" s="7" t="str">
        <f>VLOOKUP(C122,'Organisation names'!$B$4:$D$130,3,FALSE)</f>
        <v>Lancashire and South Cumbria</v>
      </c>
      <c r="C122" s="69" t="s">
        <v>122</v>
      </c>
      <c r="D122" s="7" t="str">
        <f>VLOOKUP(C122,'Organisation names'!$B$4:$D$130,2,FALSE)</f>
        <v>Blackpool Teaching Hospitals NHS Foundation Trust</v>
      </c>
      <c r="E122" s="70">
        <v>89</v>
      </c>
      <c r="F122" s="21">
        <v>0.82022470235824585</v>
      </c>
      <c r="G122" s="21">
        <v>0.58426964282989502</v>
      </c>
      <c r="H122" s="21">
        <v>0.76404494047164917</v>
      </c>
      <c r="L122" s="71"/>
    </row>
    <row r="123" spans="1:12" s="7" customFormat="1" x14ac:dyDescent="0.45">
      <c r="A123" s="7" t="s">
        <v>394</v>
      </c>
      <c r="B123" s="7" t="str">
        <f>VLOOKUP(C123,'Organisation names'!$B$4:$D$130,3,FALSE)</f>
        <v>Lancashire and South Cumbria</v>
      </c>
      <c r="C123" s="69" t="s">
        <v>123</v>
      </c>
      <c r="D123" s="7" t="str">
        <f>VLOOKUP(C123,'Organisation names'!$B$4:$D$130,2,FALSE)</f>
        <v>Lancashire Teaching Hospitals NHS Foundation Trust</v>
      </c>
      <c r="E123" s="70">
        <v>95</v>
      </c>
      <c r="F123" s="21">
        <v>0.83157896995544434</v>
      </c>
      <c r="G123" s="21">
        <v>0.86315786838531494</v>
      </c>
      <c r="H123" s="21">
        <v>0.73684209585189819</v>
      </c>
      <c r="L123" s="71"/>
    </row>
    <row r="124" spans="1:12" s="7" customFormat="1" x14ac:dyDescent="0.45">
      <c r="A124" s="7" t="s">
        <v>394</v>
      </c>
      <c r="B124" s="7" t="str">
        <f>VLOOKUP(C124,'Organisation names'!$B$4:$D$130,3,FALSE)</f>
        <v>Northern</v>
      </c>
      <c r="C124" s="69" t="s">
        <v>124</v>
      </c>
      <c r="D124" s="7" t="str">
        <f>VLOOKUP(C124,'Organisation names'!$B$4:$D$130,2,FALSE)</f>
        <v>County Durham and Darlington NHS Foundation Trust</v>
      </c>
      <c r="E124" s="70">
        <v>163</v>
      </c>
      <c r="F124" s="21">
        <v>0.60736197233200073</v>
      </c>
      <c r="G124" s="21">
        <v>0.78527605533599854</v>
      </c>
      <c r="H124" s="21">
        <v>0.84049081802368164</v>
      </c>
      <c r="L124" s="71"/>
    </row>
    <row r="125" spans="1:12" s="7" customFormat="1" x14ac:dyDescent="0.45">
      <c r="A125" s="7" t="s">
        <v>394</v>
      </c>
      <c r="B125" s="7" t="str">
        <f>VLOOKUP(C125,'Organisation names'!$B$4:$D$130,3,FALSE)</f>
        <v>Thames Valley</v>
      </c>
      <c r="C125" s="69" t="s">
        <v>125</v>
      </c>
      <c r="D125" s="7" t="str">
        <f>VLOOKUP(C125,'Organisation names'!$B$4:$D$130,2,FALSE)</f>
        <v>Buckinghamshire Healthcare NHS Trust</v>
      </c>
      <c r="E125" s="70">
        <v>97</v>
      </c>
      <c r="F125" s="21">
        <v>0.54639172554016113</v>
      </c>
      <c r="G125" s="21">
        <v>0.31958761811256409</v>
      </c>
      <c r="H125" s="21">
        <v>0.7010309100151062</v>
      </c>
      <c r="L125" s="71"/>
    </row>
    <row r="126" spans="1:12" s="7" customFormat="1" x14ac:dyDescent="0.45">
      <c r="A126" s="7" t="s">
        <v>394</v>
      </c>
      <c r="B126" s="7" t="str">
        <f>VLOOKUP(C126,'Organisation names'!$B$4:$D$130,3,FALSE)</f>
        <v>Lancashire and South Cumbria</v>
      </c>
      <c r="C126" s="69" t="s">
        <v>126</v>
      </c>
      <c r="D126" s="7" t="str">
        <f>VLOOKUP(C126,'Organisation names'!$B$4:$D$130,2,FALSE)</f>
        <v>East Lancashire Hospitals NHS Trust</v>
      </c>
      <c r="E126" s="70">
        <v>178</v>
      </c>
      <c r="F126" s="21">
        <v>0.81460672616958618</v>
      </c>
      <c r="G126" s="21">
        <v>0.73033708333969116</v>
      </c>
      <c r="H126" s="21">
        <v>0.81460672616958618</v>
      </c>
      <c r="L126" s="71"/>
    </row>
    <row r="127" spans="1:12" s="7" customFormat="1" x14ac:dyDescent="0.45">
      <c r="A127" s="7" t="s">
        <v>394</v>
      </c>
      <c r="B127" s="7" t="str">
        <f>VLOOKUP(C127,'Organisation names'!$B$4:$D$130,3,FALSE)</f>
        <v>West Midlands</v>
      </c>
      <c r="C127" s="69" t="s">
        <v>127</v>
      </c>
      <c r="D127" s="7" t="str">
        <f>VLOOKUP(C127,'Organisation names'!$B$4:$D$130,2,FALSE)</f>
        <v>The Shrewsbury and Telford Hospital NHS Trust</v>
      </c>
      <c r="E127" s="70">
        <v>119</v>
      </c>
      <c r="F127" s="21">
        <v>0.8403361439704895</v>
      </c>
      <c r="G127" s="21">
        <v>0.86554622650146484</v>
      </c>
      <c r="H127" s="21">
        <v>0.8571428656578064</v>
      </c>
      <c r="L127" s="71"/>
    </row>
    <row r="128" spans="1:12" s="7" customFormat="1" x14ac:dyDescent="0.45">
      <c r="A128" s="7" t="s">
        <v>394</v>
      </c>
      <c r="B128" s="7" t="str">
        <f>VLOOKUP(C128,'Organisation names'!$B$4:$D$130,3,FALSE)</f>
        <v>RM Partners</v>
      </c>
      <c r="C128" s="69" t="s">
        <v>128</v>
      </c>
      <c r="D128" s="7" t="str">
        <f>VLOOKUP(C128,'Organisation names'!$B$4:$D$130,2,FALSE)</f>
        <v>Imperial College Healthcare NHS Trust</v>
      </c>
      <c r="E128" s="70">
        <v>203</v>
      </c>
      <c r="F128" s="21">
        <v>0.54679805040359497</v>
      </c>
      <c r="G128" s="21">
        <v>0.54187190532684326</v>
      </c>
      <c r="H128" s="21">
        <v>0.42364531755447388</v>
      </c>
      <c r="L128" s="71"/>
    </row>
    <row r="129" spans="1:41" s="7" customFormat="1" x14ac:dyDescent="0.45">
      <c r="A129" s="7" t="s">
        <v>394</v>
      </c>
      <c r="B129" s="7" t="str">
        <f>VLOOKUP(C129,'Organisation names'!$B$4:$D$130,3,FALSE)</f>
        <v>Surrey and Sussex</v>
      </c>
      <c r="C129" s="69" t="s">
        <v>129</v>
      </c>
      <c r="D129" s="7" t="str">
        <f>VLOOKUP(C129,'Organisation names'!$B$4:$D$130,2,FALSE)</f>
        <v>University Hospitals Sussex NHS Foundation Trust</v>
      </c>
      <c r="E129" s="70">
        <v>327</v>
      </c>
      <c r="F129" s="21">
        <v>0.70030581951141357</v>
      </c>
      <c r="G129" s="21">
        <v>0.52599388360977173</v>
      </c>
      <c r="H129" s="21">
        <v>0.44648319482803339</v>
      </c>
      <c r="L129" s="71"/>
    </row>
    <row r="130" spans="1:41" x14ac:dyDescent="0.4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row>
    <row r="131" spans="1:41" x14ac:dyDescent="0.45">
      <c r="A131" s="7"/>
      <c r="B131" s="7" t="s">
        <v>279</v>
      </c>
      <c r="C131" s="7" t="s">
        <v>280</v>
      </c>
      <c r="D131" s="7"/>
      <c r="E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row>
    <row r="132" spans="1:41" x14ac:dyDescent="0.4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row>
    <row r="133" spans="1:41" x14ac:dyDescent="0.4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row>
    <row r="134" spans="1:41" x14ac:dyDescent="0.4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row>
    <row r="135" spans="1:41" x14ac:dyDescent="0.4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row>
    <row r="136" spans="1:41" x14ac:dyDescent="0.4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row>
    <row r="137" spans="1:41" x14ac:dyDescent="0.4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row>
    <row r="138" spans="1:41" x14ac:dyDescent="0.4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row>
    <row r="139" spans="1:41" x14ac:dyDescent="0.4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row>
    <row r="140" spans="1:41" x14ac:dyDescent="0.4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row>
    <row r="141" spans="1:41" x14ac:dyDescent="0.4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row>
    <row r="142" spans="1:41" x14ac:dyDescent="0.4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row>
    <row r="143" spans="1:41" x14ac:dyDescent="0.4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row>
    <row r="144" spans="1:41" x14ac:dyDescent="0.4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row>
    <row r="145" spans="1:41" x14ac:dyDescent="0.4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row>
    <row r="146" spans="1:41" x14ac:dyDescent="0.4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row>
    <row r="147" spans="1:41" x14ac:dyDescent="0.4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row>
    <row r="148" spans="1:41" x14ac:dyDescent="0.4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row>
    <row r="149" spans="1:41" x14ac:dyDescent="0.4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row>
    <row r="150" spans="1:41" x14ac:dyDescent="0.4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row>
    <row r="151" spans="1:41" x14ac:dyDescent="0.4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row>
    <row r="152" spans="1:41" x14ac:dyDescent="0.4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row>
    <row r="153" spans="1:41" x14ac:dyDescent="0.4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row>
    <row r="154" spans="1:41" x14ac:dyDescent="0.4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row>
    <row r="155" spans="1:41" x14ac:dyDescent="0.4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row>
    <row r="156" spans="1:41" x14ac:dyDescent="0.4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row>
    <row r="157" spans="1:41" x14ac:dyDescent="0.4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row>
    <row r="158" spans="1:41" x14ac:dyDescent="0.4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row>
    <row r="159" spans="1:41" x14ac:dyDescent="0.4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row>
    <row r="160" spans="1:41" x14ac:dyDescent="0.4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row>
    <row r="161" spans="1:41" x14ac:dyDescent="0.4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row>
    <row r="162" spans="1:41" x14ac:dyDescent="0.4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row>
    <row r="163" spans="1:41" x14ac:dyDescent="0.4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row>
    <row r="164" spans="1:41" x14ac:dyDescent="0.4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row>
    <row r="165" spans="1:41" x14ac:dyDescent="0.4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row>
    <row r="166" spans="1:41" x14ac:dyDescent="0.4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row>
    <row r="167" spans="1:41" x14ac:dyDescent="0.4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row>
    <row r="168" spans="1:41" x14ac:dyDescent="0.4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row>
    <row r="169" spans="1:41" x14ac:dyDescent="0.4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row>
    <row r="170" spans="1:41" x14ac:dyDescent="0.4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row>
    <row r="171" spans="1:41" x14ac:dyDescent="0.4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row>
    <row r="172" spans="1:41" x14ac:dyDescent="0.4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row>
    <row r="173" spans="1:41" x14ac:dyDescent="0.4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row>
    <row r="174" spans="1:41" x14ac:dyDescent="0.4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row>
    <row r="175" spans="1:41" x14ac:dyDescent="0.4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row>
    <row r="176" spans="1:41" x14ac:dyDescent="0.4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row>
    <row r="177" spans="1:41" x14ac:dyDescent="0.4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row>
    <row r="178" spans="1:41" x14ac:dyDescent="0.4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row>
    <row r="179" spans="1:41" x14ac:dyDescent="0.4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row>
    <row r="180" spans="1:41" x14ac:dyDescent="0.4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row>
    <row r="181" spans="1:41" x14ac:dyDescent="0.4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row>
    <row r="182" spans="1:41" x14ac:dyDescent="0.4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row>
    <row r="183" spans="1:41" x14ac:dyDescent="0.4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row>
    <row r="184" spans="1:41" x14ac:dyDescent="0.4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row>
    <row r="185" spans="1:41" x14ac:dyDescent="0.4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row>
    <row r="186" spans="1:41" x14ac:dyDescent="0.4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row>
    <row r="187" spans="1:41" x14ac:dyDescent="0.4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row>
    <row r="188" spans="1:41" x14ac:dyDescent="0.4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row>
    <row r="189" spans="1:41" x14ac:dyDescent="0.4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row>
    <row r="190" spans="1:41" x14ac:dyDescent="0.4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row>
    <row r="191" spans="1:41" x14ac:dyDescent="0.4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row>
    <row r="192" spans="1:41" x14ac:dyDescent="0.4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row>
    <row r="193" spans="1:41" x14ac:dyDescent="0.4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row>
    <row r="194" spans="1:41" x14ac:dyDescent="0.4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row>
    <row r="195" spans="1:41" x14ac:dyDescent="0.4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row>
    <row r="196" spans="1:41" x14ac:dyDescent="0.4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row>
    <row r="197" spans="1:41" x14ac:dyDescent="0.4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row>
    <row r="198" spans="1:41" x14ac:dyDescent="0.4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row>
    <row r="199" spans="1:41" x14ac:dyDescent="0.4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row>
    <row r="200" spans="1:41" x14ac:dyDescent="0.4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row>
    <row r="201" spans="1:41" x14ac:dyDescent="0.4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row>
    <row r="202" spans="1:41" x14ac:dyDescent="0.4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row>
    <row r="203" spans="1:41" x14ac:dyDescent="0.4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row>
    <row r="204" spans="1:41" x14ac:dyDescent="0.4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row>
    <row r="205" spans="1:41" x14ac:dyDescent="0.4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row>
    <row r="206" spans="1:41" x14ac:dyDescent="0.4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row>
    <row r="207" spans="1:41" x14ac:dyDescent="0.4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row>
    <row r="208" spans="1:41" x14ac:dyDescent="0.4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row>
    <row r="209" spans="1:41" x14ac:dyDescent="0.4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row>
    <row r="210" spans="1:41" x14ac:dyDescent="0.4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row>
    <row r="211" spans="1:41" x14ac:dyDescent="0.4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row>
    <row r="212" spans="1:41" x14ac:dyDescent="0.4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row>
    <row r="213" spans="1:41" x14ac:dyDescent="0.4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row>
    <row r="214" spans="1:41" x14ac:dyDescent="0.4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row>
    <row r="215" spans="1:41" x14ac:dyDescent="0.4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row>
    <row r="216" spans="1:41" x14ac:dyDescent="0.4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row>
    <row r="217" spans="1:41" x14ac:dyDescent="0.4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row>
    <row r="218" spans="1:41" x14ac:dyDescent="0.4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row>
    <row r="219" spans="1:41" x14ac:dyDescent="0.4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row>
    <row r="220" spans="1:41" x14ac:dyDescent="0.4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row>
    <row r="221" spans="1:41" x14ac:dyDescent="0.4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row>
    <row r="222" spans="1:41" x14ac:dyDescent="0.4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row>
    <row r="223" spans="1:41" x14ac:dyDescent="0.4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row>
    <row r="224" spans="1:41" x14ac:dyDescent="0.4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row>
    <row r="225" spans="1:41" x14ac:dyDescent="0.4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row>
    <row r="226" spans="1:41" x14ac:dyDescent="0.4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row>
    <row r="227" spans="1:41" x14ac:dyDescent="0.4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row>
    <row r="228" spans="1:41" x14ac:dyDescent="0.4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row>
    <row r="229" spans="1:41" x14ac:dyDescent="0.4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row>
    <row r="230" spans="1:41" x14ac:dyDescent="0.4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row>
    <row r="231" spans="1:41" x14ac:dyDescent="0.4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row>
    <row r="232" spans="1:41" x14ac:dyDescent="0.4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row>
    <row r="233" spans="1:41" x14ac:dyDescent="0.4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row>
    <row r="234" spans="1:41" x14ac:dyDescent="0.4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row>
    <row r="235" spans="1:41" x14ac:dyDescent="0.4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row>
    <row r="236" spans="1:41" x14ac:dyDescent="0.4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row>
    <row r="237" spans="1:41" x14ac:dyDescent="0.4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row>
    <row r="238" spans="1:41" x14ac:dyDescent="0.4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row>
    <row r="239" spans="1:41" x14ac:dyDescent="0.4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row>
  </sheetData>
  <autoFilter ref="A9:H129" xr:uid="{00000000-0009-0000-0000-000002000000}"/>
  <mergeCells count="2">
    <mergeCell ref="F8:H8"/>
    <mergeCell ref="B10:D1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143"/>
  <sheetViews>
    <sheetView workbookViewId="0">
      <pane ySplit="11" topLeftCell="A21" activePane="bottomLeft" state="frozen"/>
      <selection pane="bottomLeft" activeCell="C11" sqref="C11"/>
    </sheetView>
  </sheetViews>
  <sheetFormatPr defaultRowHeight="14.25" x14ac:dyDescent="0.45"/>
  <cols>
    <col min="1" max="1" width="9.265625" customWidth="1"/>
    <col min="2" max="2" width="44.265625" customWidth="1"/>
    <col min="3" max="3" width="16" customWidth="1"/>
    <col min="4" max="4" width="11.73046875" customWidth="1"/>
    <col min="5" max="5" width="12" customWidth="1"/>
    <col min="6" max="6" width="13.265625" customWidth="1"/>
  </cols>
  <sheetData>
    <row r="1" spans="1:39" x14ac:dyDescent="0.45">
      <c r="A1" s="42"/>
    </row>
    <row r="2" spans="1:39" ht="21" x14ac:dyDescent="0.65">
      <c r="A2" s="6" t="s">
        <v>395</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row>
    <row r="3" spans="1:39" x14ac:dyDescent="0.45">
      <c r="A3" s="7"/>
      <c r="B3" s="7" t="s">
        <v>285</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row>
    <row r="4" spans="1:39" x14ac:dyDescent="0.45">
      <c r="A4" s="7"/>
      <c r="B4" s="7" t="s">
        <v>286</v>
      </c>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row>
    <row r="5" spans="1:39" x14ac:dyDescent="0.45">
      <c r="A5" s="7"/>
      <c r="B5" s="7" t="s">
        <v>396</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row>
    <row r="6" spans="1:39" x14ac:dyDescent="0.45">
      <c r="A6" s="7"/>
      <c r="B6" s="7" t="s">
        <v>290</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row>
    <row r="7" spans="1:39" x14ac:dyDescent="0.45">
      <c r="A7" s="7"/>
      <c r="B7" s="7" t="s">
        <v>661</v>
      </c>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row>
    <row r="8" spans="1:39" x14ac:dyDescent="0.45">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row>
    <row r="9" spans="1:39" s="5" customFormat="1" ht="14.25" customHeight="1" x14ac:dyDescent="0.45">
      <c r="A9" s="8"/>
      <c r="B9" s="8"/>
      <c r="C9" s="8"/>
      <c r="D9" s="94" t="s">
        <v>8</v>
      </c>
      <c r="E9" s="94"/>
      <c r="F9" s="94"/>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row>
    <row r="10" spans="1:39" s="14" customFormat="1" ht="42.75" x14ac:dyDescent="0.45">
      <c r="A10" s="3" t="s">
        <v>284</v>
      </c>
      <c r="B10" s="3" t="s">
        <v>0</v>
      </c>
      <c r="C10" s="12" t="s">
        <v>283</v>
      </c>
      <c r="D10" s="12" t="s">
        <v>5</v>
      </c>
      <c r="E10" s="12" t="s">
        <v>6</v>
      </c>
      <c r="F10" s="12" t="s">
        <v>7</v>
      </c>
      <c r="G10" s="13"/>
      <c r="H10" s="26"/>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row>
    <row r="11" spans="1:39" s="5" customFormat="1" x14ac:dyDescent="0.45">
      <c r="A11" s="8" t="s">
        <v>394</v>
      </c>
      <c r="B11" s="19" t="s">
        <v>288</v>
      </c>
      <c r="C11" s="106">
        <v>17328</v>
      </c>
      <c r="D11" s="44">
        <v>0.72</v>
      </c>
      <c r="E11" s="44">
        <v>0.54</v>
      </c>
      <c r="F11" s="44">
        <v>0.52</v>
      </c>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row>
    <row r="12" spans="1:39" s="7" customFormat="1" x14ac:dyDescent="0.45">
      <c r="A12" s="7" t="s">
        <v>394</v>
      </c>
      <c r="B12" s="7" t="s">
        <v>137</v>
      </c>
      <c r="C12" s="72">
        <v>794</v>
      </c>
      <c r="D12" s="21">
        <v>0.79093199968338013</v>
      </c>
      <c r="E12" s="21">
        <v>0.77707809209823608</v>
      </c>
      <c r="F12" s="21">
        <v>0.57430732250213623</v>
      </c>
    </row>
    <row r="13" spans="1:39" s="7" customFormat="1" x14ac:dyDescent="0.45">
      <c r="A13" s="7" t="s">
        <v>394</v>
      </c>
      <c r="B13" s="7" t="s">
        <v>138</v>
      </c>
      <c r="C13" s="72">
        <v>1424</v>
      </c>
      <c r="D13" s="21">
        <v>0.62008428573608398</v>
      </c>
      <c r="E13" s="21">
        <v>0.49929773807525629</v>
      </c>
      <c r="F13" s="21">
        <v>0.30898874998092651</v>
      </c>
    </row>
    <row r="14" spans="1:39" s="7" customFormat="1" x14ac:dyDescent="0.45">
      <c r="A14" s="7" t="s">
        <v>394</v>
      </c>
      <c r="B14" s="7" t="s">
        <v>289</v>
      </c>
      <c r="C14" s="72">
        <v>1968</v>
      </c>
      <c r="D14" s="21">
        <v>0.76219511032104492</v>
      </c>
      <c r="E14" s="21">
        <v>0.49441057443618769</v>
      </c>
      <c r="F14" s="21">
        <v>0.55436992645263672</v>
      </c>
    </row>
    <row r="15" spans="1:39" s="7" customFormat="1" x14ac:dyDescent="0.45">
      <c r="A15" s="7" t="s">
        <v>394</v>
      </c>
      <c r="B15" s="7" t="s">
        <v>139</v>
      </c>
      <c r="C15" s="72">
        <v>803</v>
      </c>
      <c r="D15" s="21">
        <v>0.80821919441223145</v>
      </c>
      <c r="E15" s="21">
        <v>0.64259028434753418</v>
      </c>
      <c r="F15" s="21">
        <v>0.29763388633728027</v>
      </c>
    </row>
    <row r="16" spans="1:39" s="7" customFormat="1" x14ac:dyDescent="0.45">
      <c r="A16" s="7" t="s">
        <v>394</v>
      </c>
      <c r="B16" s="7" t="s">
        <v>140</v>
      </c>
      <c r="C16" s="72">
        <v>552</v>
      </c>
      <c r="D16" s="21">
        <v>0.76086956262588501</v>
      </c>
      <c r="E16" s="21">
        <v>0.58333331346511841</v>
      </c>
      <c r="F16" s="21">
        <v>0.59601449966430664</v>
      </c>
    </row>
    <row r="17" spans="1:6" s="7" customFormat="1" x14ac:dyDescent="0.45">
      <c r="A17" s="7" t="s">
        <v>394</v>
      </c>
      <c r="B17" s="7" t="s">
        <v>141</v>
      </c>
      <c r="C17" s="72">
        <v>591</v>
      </c>
      <c r="D17" s="21">
        <v>0.7157360315322876</v>
      </c>
      <c r="E17" s="21">
        <v>0.67851102352142334</v>
      </c>
      <c r="F17" s="21">
        <v>0.58206427097320557</v>
      </c>
    </row>
    <row r="18" spans="1:6" s="7" customFormat="1" x14ac:dyDescent="0.45">
      <c r="A18" s="7" t="s">
        <v>394</v>
      </c>
      <c r="B18" s="7" t="s">
        <v>142</v>
      </c>
      <c r="C18" s="72">
        <v>462</v>
      </c>
      <c r="D18" s="21">
        <v>0.80086582899093628</v>
      </c>
      <c r="E18" s="21">
        <v>0.73809522390365601</v>
      </c>
      <c r="F18" s="21">
        <v>0.78571426868438721</v>
      </c>
    </row>
    <row r="19" spans="1:6" s="7" customFormat="1" x14ac:dyDescent="0.45">
      <c r="A19" s="7" t="s">
        <v>394</v>
      </c>
      <c r="B19" s="7" t="s">
        <v>143</v>
      </c>
      <c r="C19" s="72">
        <v>443</v>
      </c>
      <c r="D19" s="21">
        <v>0.36568847298622131</v>
      </c>
      <c r="E19" s="21">
        <v>0.14446952939033511</v>
      </c>
      <c r="F19" s="21">
        <v>0.23250564932823181</v>
      </c>
    </row>
    <row r="20" spans="1:6" s="7" customFormat="1" x14ac:dyDescent="0.45">
      <c r="A20" s="7" t="s">
        <v>394</v>
      </c>
      <c r="B20" s="7" t="s">
        <v>144</v>
      </c>
      <c r="C20" s="72">
        <v>367</v>
      </c>
      <c r="D20" s="21">
        <v>0.73569482564926147</v>
      </c>
      <c r="E20" s="21">
        <v>0.20163488388061521</v>
      </c>
      <c r="F20" s="21">
        <v>6.2670297920703888E-2</v>
      </c>
    </row>
    <row r="21" spans="1:6" s="7" customFormat="1" x14ac:dyDescent="0.45">
      <c r="A21" s="7" t="s">
        <v>394</v>
      </c>
      <c r="B21" s="7" t="s">
        <v>145</v>
      </c>
      <c r="C21" s="72">
        <v>1126</v>
      </c>
      <c r="D21" s="21">
        <v>0.62788629531860352</v>
      </c>
      <c r="E21" s="21">
        <v>0.62433391809463501</v>
      </c>
      <c r="F21" s="21">
        <v>0.6127886176109314</v>
      </c>
    </row>
    <row r="22" spans="1:6" s="7" customFormat="1" x14ac:dyDescent="0.45">
      <c r="A22" s="7" t="s">
        <v>394</v>
      </c>
      <c r="B22" s="7" t="s">
        <v>146</v>
      </c>
      <c r="C22" s="72">
        <v>716</v>
      </c>
      <c r="D22" s="21">
        <v>0.82681566476821899</v>
      </c>
      <c r="E22" s="21">
        <v>0.62849164009094238</v>
      </c>
      <c r="F22" s="21">
        <v>0.62569832801818848</v>
      </c>
    </row>
    <row r="23" spans="1:6" s="7" customFormat="1" x14ac:dyDescent="0.45">
      <c r="A23" s="7" t="s">
        <v>394</v>
      </c>
      <c r="B23" s="7" t="s">
        <v>406</v>
      </c>
      <c r="C23" s="72">
        <v>860</v>
      </c>
      <c r="D23" s="21">
        <v>0.63837206363677979</v>
      </c>
      <c r="E23" s="21">
        <v>0.52790695428848267</v>
      </c>
      <c r="F23" s="21">
        <v>0.37790697813034058</v>
      </c>
    </row>
    <row r="24" spans="1:6" s="7" customFormat="1" x14ac:dyDescent="0.45">
      <c r="A24" s="7" t="s">
        <v>394</v>
      </c>
      <c r="B24" s="7" t="s">
        <v>147</v>
      </c>
      <c r="C24" s="72">
        <v>922</v>
      </c>
      <c r="D24" s="21">
        <v>0.79934924840927124</v>
      </c>
      <c r="E24" s="21">
        <v>0.48373103141784668</v>
      </c>
      <c r="F24" s="21">
        <v>0.49783080816268921</v>
      </c>
    </row>
    <row r="25" spans="1:6" s="7" customFormat="1" x14ac:dyDescent="0.45">
      <c r="A25" s="7" t="s">
        <v>394</v>
      </c>
      <c r="B25" s="7" t="s">
        <v>148</v>
      </c>
      <c r="C25" s="72">
        <v>475</v>
      </c>
      <c r="D25" s="21">
        <v>0.72842103242874146</v>
      </c>
      <c r="E25" s="21">
        <v>0.48210525512695313</v>
      </c>
      <c r="F25" s="21">
        <v>0.64842104911804199</v>
      </c>
    </row>
    <row r="26" spans="1:6" s="7" customFormat="1" x14ac:dyDescent="0.45">
      <c r="A26" s="7" t="s">
        <v>394</v>
      </c>
      <c r="B26" s="7" t="s">
        <v>149</v>
      </c>
      <c r="C26" s="72">
        <v>560</v>
      </c>
      <c r="D26" s="21">
        <v>0.58928573131561279</v>
      </c>
      <c r="E26" s="21">
        <v>0.35535714030265808</v>
      </c>
      <c r="F26" s="21">
        <v>0.49821427464485168</v>
      </c>
    </row>
    <row r="27" spans="1:6" s="7" customFormat="1" x14ac:dyDescent="0.45">
      <c r="A27" s="7" t="s">
        <v>394</v>
      </c>
      <c r="B27" s="7" t="s">
        <v>150</v>
      </c>
      <c r="C27" s="72">
        <v>1151</v>
      </c>
      <c r="D27" s="21">
        <v>0.6333622932434082</v>
      </c>
      <c r="E27" s="21">
        <v>0.41876628994941711</v>
      </c>
      <c r="F27" s="21">
        <v>0.37880104780197138</v>
      </c>
    </row>
    <row r="28" spans="1:6" s="7" customFormat="1" x14ac:dyDescent="0.45">
      <c r="A28" s="7" t="s">
        <v>394</v>
      </c>
      <c r="B28" s="7" t="s">
        <v>151</v>
      </c>
      <c r="C28" s="72">
        <v>603</v>
      </c>
      <c r="D28" s="21">
        <v>0.72139304876327515</v>
      </c>
      <c r="E28" s="21">
        <v>0.45936980843544012</v>
      </c>
      <c r="F28" s="21">
        <v>0.75290215015411377</v>
      </c>
    </row>
    <row r="29" spans="1:6" s="7" customFormat="1" x14ac:dyDescent="0.45">
      <c r="A29" s="7" t="s">
        <v>394</v>
      </c>
      <c r="B29" s="7" t="s">
        <v>152</v>
      </c>
      <c r="C29" s="72">
        <v>944</v>
      </c>
      <c r="D29" s="21">
        <v>0.86758476495742798</v>
      </c>
      <c r="E29" s="21">
        <v>0.68644070625305176</v>
      </c>
      <c r="F29" s="21">
        <v>0.57521188259124756</v>
      </c>
    </row>
    <row r="30" spans="1:6" s="7" customFormat="1" x14ac:dyDescent="0.45">
      <c r="A30" s="7" t="s">
        <v>394</v>
      </c>
      <c r="B30" s="7" t="s">
        <v>153</v>
      </c>
      <c r="C30" s="72">
        <v>1730</v>
      </c>
      <c r="D30" s="21">
        <v>0.74797689914703369</v>
      </c>
      <c r="E30" s="21">
        <v>0.57514452934265137</v>
      </c>
      <c r="F30" s="21">
        <v>0.58612716197967529</v>
      </c>
    </row>
    <row r="31" spans="1:6" s="7" customFormat="1" x14ac:dyDescent="0.45">
      <c r="A31" s="7" t="s">
        <v>394</v>
      </c>
      <c r="B31" s="7" t="s">
        <v>154</v>
      </c>
      <c r="C31" s="72">
        <v>788</v>
      </c>
      <c r="D31" s="21">
        <v>0.82994925975799561</v>
      </c>
      <c r="E31" s="21">
        <v>0.52030456066131592</v>
      </c>
      <c r="F31" s="21">
        <v>0.73730963468551636</v>
      </c>
    </row>
    <row r="32" spans="1:6" s="7" customFormat="1" x14ac:dyDescent="0.45"/>
    <row r="33" spans="1:39" s="7" customFormat="1" x14ac:dyDescent="0.45">
      <c r="B33" s="7" t="s">
        <v>279</v>
      </c>
      <c r="C33" s="7" t="s">
        <v>280</v>
      </c>
    </row>
    <row r="34" spans="1:39" x14ac:dyDescent="0.4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row>
    <row r="35" spans="1:39" x14ac:dyDescent="0.4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row>
    <row r="36" spans="1:39" x14ac:dyDescent="0.4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row>
    <row r="37" spans="1:39" x14ac:dyDescent="0.4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row>
    <row r="38" spans="1:39" x14ac:dyDescent="0.4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row>
    <row r="39" spans="1:39" x14ac:dyDescent="0.4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row>
    <row r="40" spans="1:39" x14ac:dyDescent="0.4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row>
    <row r="41" spans="1:39" x14ac:dyDescent="0.4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row>
    <row r="42" spans="1:39" x14ac:dyDescent="0.4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row>
    <row r="43" spans="1:39" x14ac:dyDescent="0.4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row>
    <row r="44" spans="1:39" x14ac:dyDescent="0.4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row>
    <row r="45" spans="1:39" x14ac:dyDescent="0.4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row>
    <row r="46" spans="1:39" x14ac:dyDescent="0.4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row>
    <row r="47" spans="1:39" x14ac:dyDescent="0.4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row>
    <row r="48" spans="1:39" x14ac:dyDescent="0.4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row>
    <row r="49" spans="1:39" x14ac:dyDescent="0.4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row>
    <row r="50" spans="1:39" x14ac:dyDescent="0.4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row>
    <row r="51" spans="1:39" x14ac:dyDescent="0.4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row>
    <row r="52" spans="1:39" x14ac:dyDescent="0.4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row>
    <row r="53" spans="1:39" x14ac:dyDescent="0.4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row>
    <row r="54" spans="1:39" x14ac:dyDescent="0.45">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row>
    <row r="55" spans="1:39" x14ac:dyDescent="0.45">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row>
    <row r="56" spans="1:39" x14ac:dyDescent="0.4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row>
    <row r="57" spans="1:39" x14ac:dyDescent="0.4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row>
    <row r="58" spans="1:39" x14ac:dyDescent="0.4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row>
    <row r="59" spans="1:39" x14ac:dyDescent="0.4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row>
    <row r="60" spans="1:39" x14ac:dyDescent="0.4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row>
    <row r="61" spans="1:39" x14ac:dyDescent="0.45">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row>
    <row r="62" spans="1:39" x14ac:dyDescent="0.4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row>
    <row r="63" spans="1:39" x14ac:dyDescent="0.4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row>
    <row r="64" spans="1:39" x14ac:dyDescent="0.45">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row>
    <row r="65" spans="1:39" x14ac:dyDescent="0.45">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row>
    <row r="66" spans="1:39" x14ac:dyDescent="0.4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row>
    <row r="67" spans="1:39" x14ac:dyDescent="0.4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row>
    <row r="68" spans="1:39" x14ac:dyDescent="0.4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row>
    <row r="69" spans="1:39" x14ac:dyDescent="0.4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row>
    <row r="70" spans="1:39" x14ac:dyDescent="0.4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row>
    <row r="71" spans="1:39" x14ac:dyDescent="0.4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row>
    <row r="72" spans="1:39" x14ac:dyDescent="0.4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row>
    <row r="73" spans="1:39" x14ac:dyDescent="0.4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row>
    <row r="74" spans="1:39" x14ac:dyDescent="0.4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row>
    <row r="75" spans="1:39" x14ac:dyDescent="0.4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row>
    <row r="76" spans="1:39" x14ac:dyDescent="0.4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row>
    <row r="77" spans="1:39" x14ac:dyDescent="0.4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row>
    <row r="78" spans="1:39" x14ac:dyDescent="0.4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row>
    <row r="79" spans="1:39" x14ac:dyDescent="0.4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row>
    <row r="80" spans="1:39" x14ac:dyDescent="0.4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row>
    <row r="81" spans="1:39" x14ac:dyDescent="0.4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row>
    <row r="82" spans="1:39" x14ac:dyDescent="0.4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row>
    <row r="83" spans="1:39" x14ac:dyDescent="0.4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row>
    <row r="84" spans="1:39" x14ac:dyDescent="0.4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row>
    <row r="85" spans="1:39" x14ac:dyDescent="0.4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row>
    <row r="86" spans="1:39" x14ac:dyDescent="0.4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row>
    <row r="87" spans="1:39" x14ac:dyDescent="0.4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row>
    <row r="88" spans="1:39" x14ac:dyDescent="0.4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row>
    <row r="89" spans="1:39" x14ac:dyDescent="0.4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row>
    <row r="90" spans="1:39" x14ac:dyDescent="0.45">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row>
    <row r="91" spans="1:39" x14ac:dyDescent="0.45">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row>
    <row r="92" spans="1:39" x14ac:dyDescent="0.45">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row>
    <row r="93" spans="1:39" x14ac:dyDescent="0.45">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row>
    <row r="94" spans="1:39" x14ac:dyDescent="0.4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row>
    <row r="95" spans="1:39" x14ac:dyDescent="0.4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row>
    <row r="96" spans="1:39" x14ac:dyDescent="0.45">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row>
    <row r="97" spans="1:39" x14ac:dyDescent="0.4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row>
    <row r="98" spans="1:39" x14ac:dyDescent="0.45">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row>
    <row r="99" spans="1:39" x14ac:dyDescent="0.45">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row>
    <row r="100" spans="1:39" x14ac:dyDescent="0.4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row>
    <row r="101" spans="1:39" x14ac:dyDescent="0.4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row>
    <row r="102" spans="1:39" x14ac:dyDescent="0.4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row>
    <row r="103" spans="1:39" x14ac:dyDescent="0.4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row>
    <row r="104" spans="1:39" x14ac:dyDescent="0.4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row>
    <row r="105" spans="1:39" x14ac:dyDescent="0.4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row>
    <row r="106" spans="1:39" x14ac:dyDescent="0.4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row>
    <row r="107" spans="1:39" x14ac:dyDescent="0.4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row>
    <row r="108" spans="1:39" x14ac:dyDescent="0.4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row>
    <row r="109" spans="1:39" x14ac:dyDescent="0.4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row>
    <row r="110" spans="1:39" x14ac:dyDescent="0.4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row>
    <row r="111" spans="1:39" x14ac:dyDescent="0.4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row>
    <row r="112" spans="1:39" x14ac:dyDescent="0.4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row>
    <row r="113" spans="1:39" x14ac:dyDescent="0.4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row>
    <row r="114" spans="1:39" x14ac:dyDescent="0.4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row>
    <row r="115" spans="1:39" x14ac:dyDescent="0.4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row>
    <row r="116" spans="1:39" x14ac:dyDescent="0.4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row>
    <row r="117" spans="1:39" x14ac:dyDescent="0.4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row>
    <row r="118" spans="1:39" x14ac:dyDescent="0.4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row>
    <row r="119" spans="1:39" x14ac:dyDescent="0.4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row>
    <row r="120" spans="1:39" x14ac:dyDescent="0.4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row>
    <row r="121" spans="1:39" x14ac:dyDescent="0.4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row>
    <row r="122" spans="1:39" x14ac:dyDescent="0.4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row>
    <row r="123" spans="1:39" x14ac:dyDescent="0.4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row>
    <row r="124" spans="1:39" x14ac:dyDescent="0.4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row>
    <row r="125" spans="1:39" x14ac:dyDescent="0.4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row>
    <row r="126" spans="1:39" x14ac:dyDescent="0.4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row>
    <row r="127" spans="1:39" x14ac:dyDescent="0.4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row>
    <row r="128" spans="1:39" x14ac:dyDescent="0.4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row>
    <row r="129" spans="1:39" x14ac:dyDescent="0.4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row>
    <row r="130" spans="1:39" x14ac:dyDescent="0.4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row>
    <row r="131" spans="1:39" x14ac:dyDescent="0.4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row>
    <row r="132" spans="1:39" x14ac:dyDescent="0.4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row>
    <row r="133" spans="1:39" x14ac:dyDescent="0.4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row>
    <row r="134" spans="1:39" x14ac:dyDescent="0.4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row>
    <row r="135" spans="1:39" x14ac:dyDescent="0.4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row>
    <row r="136" spans="1:39" x14ac:dyDescent="0.4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row>
    <row r="137" spans="1:39" x14ac:dyDescent="0.4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row>
    <row r="138" spans="1:39" x14ac:dyDescent="0.4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row>
    <row r="139" spans="1:39" x14ac:dyDescent="0.4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row>
    <row r="140" spans="1:39" x14ac:dyDescent="0.4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row>
    <row r="141" spans="1:39" x14ac:dyDescent="0.4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row>
    <row r="142" spans="1:39" x14ac:dyDescent="0.4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row>
    <row r="143" spans="1:39" x14ac:dyDescent="0.4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row>
  </sheetData>
  <mergeCells count="1">
    <mergeCell ref="D9:F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6"/>
  <sheetViews>
    <sheetView workbookViewId="0">
      <selection activeCell="F11" sqref="F11"/>
    </sheetView>
  </sheetViews>
  <sheetFormatPr defaultRowHeight="14.25" x14ac:dyDescent="0.45"/>
  <cols>
    <col min="2" max="2" width="10.265625" customWidth="1"/>
    <col min="3" max="3" width="34.265625" customWidth="1"/>
    <col min="4" max="4" width="10.1328125" customWidth="1"/>
    <col min="5" max="5" width="11.265625" customWidth="1"/>
    <col min="6" max="6" width="12.73046875" customWidth="1"/>
  </cols>
  <sheetData>
    <row r="1" spans="1:9" x14ac:dyDescent="0.45">
      <c r="A1" s="42"/>
    </row>
    <row r="2" spans="1:9" ht="21" x14ac:dyDescent="0.65">
      <c r="A2" s="6" t="s">
        <v>664</v>
      </c>
      <c r="B2" s="7"/>
    </row>
    <row r="3" spans="1:9" x14ac:dyDescent="0.45">
      <c r="A3" s="7"/>
      <c r="B3" s="7" t="s">
        <v>339</v>
      </c>
    </row>
    <row r="4" spans="1:9" x14ac:dyDescent="0.45">
      <c r="A4" s="7"/>
      <c r="B4" s="7" t="s">
        <v>286</v>
      </c>
    </row>
    <row r="5" spans="1:9" x14ac:dyDescent="0.45">
      <c r="A5" s="7"/>
      <c r="B5" s="7" t="s">
        <v>338</v>
      </c>
    </row>
    <row r="8" spans="1:9" x14ac:dyDescent="0.45">
      <c r="B8" s="8"/>
      <c r="C8" s="8"/>
      <c r="D8" s="8"/>
      <c r="E8" s="94" t="s">
        <v>8</v>
      </c>
      <c r="F8" s="94"/>
    </row>
    <row r="9" spans="1:9" ht="71.25" x14ac:dyDescent="0.45">
      <c r="A9" s="3" t="s">
        <v>284</v>
      </c>
      <c r="B9" s="12" t="s">
        <v>337</v>
      </c>
      <c r="C9" s="12" t="s">
        <v>345</v>
      </c>
      <c r="D9" s="12" t="s">
        <v>283</v>
      </c>
      <c r="E9" s="12" t="s">
        <v>5</v>
      </c>
      <c r="F9" s="12" t="s">
        <v>6</v>
      </c>
    </row>
    <row r="10" spans="1:9" s="7" customFormat="1" x14ac:dyDescent="0.45">
      <c r="A10" s="7" t="s">
        <v>665</v>
      </c>
      <c r="B10" s="96" t="s">
        <v>336</v>
      </c>
      <c r="C10" s="96"/>
      <c r="D10" s="13">
        <v>926</v>
      </c>
      <c r="E10" s="43">
        <v>0.71</v>
      </c>
      <c r="F10" s="78">
        <v>0.87</v>
      </c>
      <c r="G10" s="61"/>
    </row>
    <row r="11" spans="1:9" s="7" customFormat="1" x14ac:dyDescent="0.45">
      <c r="A11" s="7" t="s">
        <v>665</v>
      </c>
      <c r="B11" s="7" t="s">
        <v>324</v>
      </c>
      <c r="C11" s="7" t="s">
        <v>325</v>
      </c>
      <c r="D11" s="7">
        <v>214</v>
      </c>
      <c r="E11" s="21">
        <v>0.88</v>
      </c>
      <c r="F11" s="61">
        <v>0.94</v>
      </c>
      <c r="G11" s="61"/>
      <c r="I11" s="85"/>
    </row>
    <row r="12" spans="1:9" s="7" customFormat="1" x14ac:dyDescent="0.45">
      <c r="A12" s="7" t="s">
        <v>665</v>
      </c>
      <c r="B12" s="7" t="s">
        <v>326</v>
      </c>
      <c r="C12" s="7" t="s">
        <v>327</v>
      </c>
      <c r="D12" s="7">
        <v>135</v>
      </c>
      <c r="E12" s="21">
        <v>0.93</v>
      </c>
      <c r="F12" s="61">
        <v>0.93</v>
      </c>
      <c r="G12" s="61"/>
      <c r="I12" s="85"/>
    </row>
    <row r="13" spans="1:9" s="7" customFormat="1" x14ac:dyDescent="0.45">
      <c r="A13" s="7" t="s">
        <v>665</v>
      </c>
      <c r="B13" s="7" t="s">
        <v>328</v>
      </c>
      <c r="C13" s="7" t="s">
        <v>329</v>
      </c>
      <c r="D13" s="7">
        <v>181</v>
      </c>
      <c r="E13" s="79">
        <v>0.68</v>
      </c>
      <c r="F13" s="61">
        <v>0.75</v>
      </c>
      <c r="G13" s="61"/>
      <c r="I13" s="27"/>
    </row>
    <row r="14" spans="1:9" s="7" customFormat="1" x14ac:dyDescent="0.45">
      <c r="A14" s="7" t="s">
        <v>665</v>
      </c>
      <c r="B14" s="7" t="s">
        <v>330</v>
      </c>
      <c r="C14" s="7" t="s">
        <v>331</v>
      </c>
      <c r="D14" s="7">
        <v>121</v>
      </c>
      <c r="E14" s="21">
        <v>0.13</v>
      </c>
      <c r="F14" s="61">
        <v>0.79</v>
      </c>
      <c r="G14" s="61"/>
      <c r="I14" s="85"/>
    </row>
    <row r="15" spans="1:9" s="7" customFormat="1" x14ac:dyDescent="0.45">
      <c r="A15" s="7" t="s">
        <v>665</v>
      </c>
      <c r="B15" s="7" t="s">
        <v>332</v>
      </c>
      <c r="C15" s="7" t="s">
        <v>333</v>
      </c>
      <c r="D15" s="7">
        <v>109</v>
      </c>
      <c r="E15" s="79">
        <v>0.72</v>
      </c>
      <c r="F15" s="61">
        <v>0.89</v>
      </c>
      <c r="G15" s="61"/>
      <c r="I15" s="27"/>
    </row>
    <row r="16" spans="1:9" s="7" customFormat="1" x14ac:dyDescent="0.45">
      <c r="A16" s="7" t="s">
        <v>665</v>
      </c>
      <c r="B16" s="7" t="s">
        <v>334</v>
      </c>
      <c r="C16" s="7" t="s">
        <v>335</v>
      </c>
      <c r="D16" s="7">
        <v>166</v>
      </c>
      <c r="E16" s="79">
        <v>0.78</v>
      </c>
      <c r="F16" s="61">
        <v>0.93</v>
      </c>
      <c r="G16" s="61"/>
      <c r="I16" s="27"/>
    </row>
  </sheetData>
  <mergeCells count="2">
    <mergeCell ref="E8:F8"/>
    <mergeCell ref="B10:C1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140"/>
  <sheetViews>
    <sheetView zoomScaleNormal="100" workbookViewId="0">
      <pane xSplit="5" ySplit="9" topLeftCell="F10" activePane="bottomRight" state="frozen"/>
      <selection pane="topRight" activeCell="F1" sqref="F1"/>
      <selection pane="bottomLeft" activeCell="A10" sqref="A10"/>
      <selection pane="bottomRight" activeCell="E9" sqref="E9"/>
    </sheetView>
  </sheetViews>
  <sheetFormatPr defaultRowHeight="14.25" x14ac:dyDescent="0.45"/>
  <cols>
    <col min="1" max="1" width="11.73046875" customWidth="1"/>
    <col min="2" max="2" width="23.265625" customWidth="1"/>
    <col min="3" max="3" width="14.265625" customWidth="1"/>
    <col min="4" max="4" width="59.265625" customWidth="1"/>
    <col min="5" max="5" width="17.73046875" customWidth="1"/>
    <col min="6" max="9" width="8.73046875" customWidth="1"/>
    <col min="10" max="18" width="10.265625" customWidth="1"/>
  </cols>
  <sheetData>
    <row r="1" spans="1:29" x14ac:dyDescent="0.45">
      <c r="A1" s="42"/>
    </row>
    <row r="2" spans="1:29" ht="21" x14ac:dyDescent="0.65">
      <c r="A2" s="1" t="s">
        <v>397</v>
      </c>
    </row>
    <row r="3" spans="1:29" x14ac:dyDescent="0.45">
      <c r="B3" s="7" t="s">
        <v>380</v>
      </c>
    </row>
    <row r="4" spans="1:29" x14ac:dyDescent="0.45">
      <c r="B4" s="7" t="s">
        <v>287</v>
      </c>
    </row>
    <row r="5" spans="1:29" x14ac:dyDescent="0.45">
      <c r="B5" s="7" t="s">
        <v>660</v>
      </c>
    </row>
    <row r="7" spans="1:29" s="7" customFormat="1" x14ac:dyDescent="0.45">
      <c r="F7" s="98" t="s">
        <v>278</v>
      </c>
      <c r="G7" s="98"/>
      <c r="H7" s="98"/>
      <c r="I7" s="98"/>
      <c r="J7" s="98" t="s">
        <v>304</v>
      </c>
      <c r="K7" s="98"/>
      <c r="L7" s="98"/>
      <c r="M7" s="98"/>
      <c r="N7" s="98" t="s">
        <v>305</v>
      </c>
      <c r="O7" s="98"/>
      <c r="P7" s="98"/>
      <c r="Q7" s="98"/>
      <c r="R7" s="98"/>
      <c r="S7" s="98" t="s">
        <v>273</v>
      </c>
      <c r="T7" s="98"/>
      <c r="U7" s="98"/>
      <c r="V7" s="98"/>
      <c r="W7" s="98"/>
    </row>
    <row r="8" spans="1:29" s="26" customFormat="1" ht="42.75" x14ac:dyDescent="0.45">
      <c r="A8" s="3" t="s">
        <v>1</v>
      </c>
      <c r="B8" s="3" t="s">
        <v>0</v>
      </c>
      <c r="C8" s="12" t="s">
        <v>2</v>
      </c>
      <c r="D8" s="12" t="s">
        <v>3</v>
      </c>
      <c r="E8" s="22" t="s">
        <v>131</v>
      </c>
      <c r="F8" s="23" t="s">
        <v>269</v>
      </c>
      <c r="G8" s="23" t="s">
        <v>270</v>
      </c>
      <c r="H8" s="23" t="s">
        <v>271</v>
      </c>
      <c r="I8" s="23" t="s">
        <v>272</v>
      </c>
      <c r="J8" s="24" t="s">
        <v>265</v>
      </c>
      <c r="K8" s="24" t="s">
        <v>266</v>
      </c>
      <c r="L8" s="24" t="s">
        <v>267</v>
      </c>
      <c r="M8" s="24" t="s">
        <v>268</v>
      </c>
      <c r="N8" s="23" t="s">
        <v>276</v>
      </c>
      <c r="O8" s="23">
        <v>1</v>
      </c>
      <c r="P8" s="23">
        <v>2</v>
      </c>
      <c r="Q8" s="23">
        <v>3</v>
      </c>
      <c r="R8" s="23" t="s">
        <v>277</v>
      </c>
      <c r="S8" s="23" t="s">
        <v>274</v>
      </c>
      <c r="T8" s="23">
        <v>2</v>
      </c>
      <c r="U8" s="23">
        <v>3</v>
      </c>
      <c r="V8" s="23">
        <v>4</v>
      </c>
      <c r="W8" s="23" t="s">
        <v>275</v>
      </c>
    </row>
    <row r="9" spans="1:29" s="8" customFormat="1" x14ac:dyDescent="0.45">
      <c r="A9" s="8" t="s">
        <v>394</v>
      </c>
      <c r="B9" s="97" t="s">
        <v>4</v>
      </c>
      <c r="C9" s="97"/>
      <c r="D9" s="97"/>
      <c r="E9" s="106">
        <v>17328</v>
      </c>
      <c r="F9" s="59">
        <v>0.12875115420129299</v>
      </c>
      <c r="G9" s="59">
        <v>0.21870000000000001</v>
      </c>
      <c r="H9" s="59">
        <v>0.35210000000000002</v>
      </c>
      <c r="I9" s="59">
        <v>0.3004</v>
      </c>
      <c r="J9" s="73">
        <v>0.11650000000000001</v>
      </c>
      <c r="K9" s="73">
        <v>0.1255</v>
      </c>
      <c r="L9" s="73">
        <v>0.13930000000000001</v>
      </c>
      <c r="M9" s="73">
        <v>0.61880000000000002</v>
      </c>
      <c r="N9" s="73">
        <v>0.35630000000000001</v>
      </c>
      <c r="O9" s="73">
        <v>0.32319999999999999</v>
      </c>
      <c r="P9" s="73">
        <v>0.17380000000000001</v>
      </c>
      <c r="Q9" s="73">
        <v>0.12089999999999999</v>
      </c>
      <c r="R9" s="73">
        <v>2.58E-2</v>
      </c>
      <c r="S9" s="73">
        <v>0.16930000000000001</v>
      </c>
      <c r="T9" s="73">
        <v>0.18690000000000001</v>
      </c>
      <c r="U9" s="73">
        <v>0.20619999999999999</v>
      </c>
      <c r="V9" s="73">
        <v>0.22070000000000001</v>
      </c>
      <c r="W9" s="73">
        <v>0.217</v>
      </c>
    </row>
    <row r="10" spans="1:29" s="7" customFormat="1" x14ac:dyDescent="0.45">
      <c r="A10" s="7" t="s">
        <v>394</v>
      </c>
      <c r="B10" s="7" t="str">
        <f>VLOOKUP(C10,'Organisation names'!$B$4:$D$130,3,FALSE)</f>
        <v>Greater Manchester</v>
      </c>
      <c r="C10" s="7" t="s">
        <v>9</v>
      </c>
      <c r="D10" s="7" t="str">
        <f>VLOOKUP(C10,'Organisation names'!$B$4:$D$130,2,FALSE)</f>
        <v>Manchester University NHS Foundation Trust</v>
      </c>
      <c r="E10" s="72">
        <v>237</v>
      </c>
      <c r="F10" s="21">
        <v>0.16455696523189539</v>
      </c>
      <c r="G10" s="21">
        <v>0.22784809768199921</v>
      </c>
      <c r="H10" s="21">
        <v>0.37130802869796747</v>
      </c>
      <c r="I10" s="21">
        <v>0.23628692328929901</v>
      </c>
      <c r="J10" s="21">
        <v>0.15294118225574491</v>
      </c>
      <c r="K10" s="21">
        <v>0.15294118225574491</v>
      </c>
      <c r="L10" s="21">
        <v>0.22352941334247589</v>
      </c>
      <c r="M10" s="21">
        <v>0.47058823704719538</v>
      </c>
      <c r="N10" s="21">
        <v>0.20161290466785431</v>
      </c>
      <c r="O10" s="21">
        <v>0.46774193644523621</v>
      </c>
      <c r="P10" s="21">
        <v>0.20967741310596469</v>
      </c>
      <c r="Q10" s="21">
        <v>9.6774190664291382E-2</v>
      </c>
      <c r="R10" s="21">
        <v>2.4193547666072849E-2</v>
      </c>
      <c r="S10" s="21">
        <v>0.29957807064056402</v>
      </c>
      <c r="T10" s="21">
        <v>0.16877637803554529</v>
      </c>
      <c r="U10" s="21">
        <v>0.16033755242824549</v>
      </c>
      <c r="V10" s="21">
        <v>0.19831223785877231</v>
      </c>
      <c r="W10" s="21">
        <v>0.17299577593803411</v>
      </c>
      <c r="Z10" s="71"/>
      <c r="AA10" s="71"/>
      <c r="AB10" s="71"/>
      <c r="AC10" s="71"/>
    </row>
    <row r="11" spans="1:29" s="7" customFormat="1" x14ac:dyDescent="0.45">
      <c r="A11" s="7" t="s">
        <v>394</v>
      </c>
      <c r="B11" s="7" t="str">
        <f>VLOOKUP(C11,'Organisation names'!$B$4:$D$130,3,FALSE)</f>
        <v>Northern</v>
      </c>
      <c r="C11" s="7" t="s">
        <v>10</v>
      </c>
      <c r="D11" s="7" t="str">
        <f>VLOOKUP(C11,'Organisation names'!$B$4:$D$130,2,FALSE)</f>
        <v>South Tyneside and Sunderland NHS Foundation Trust</v>
      </c>
      <c r="E11" s="72">
        <v>149</v>
      </c>
      <c r="F11" s="21">
        <v>9.3959733843803406E-2</v>
      </c>
      <c r="G11" s="21">
        <v>0.24832214415073389</v>
      </c>
      <c r="H11" s="21">
        <v>0.22147651016712189</v>
      </c>
      <c r="I11" s="21">
        <v>0.43624159693717962</v>
      </c>
      <c r="J11" s="21">
        <v>0.1354166716337204</v>
      </c>
      <c r="K11" s="21">
        <v>4.1666667908430099E-2</v>
      </c>
      <c r="L11" s="21">
        <v>7.2916664183139801E-2</v>
      </c>
      <c r="M11" s="21">
        <v>0.75</v>
      </c>
      <c r="N11" s="21">
        <v>0.1875</v>
      </c>
      <c r="O11" s="21">
        <v>0.375</v>
      </c>
      <c r="P11" s="21">
        <v>0.1875</v>
      </c>
      <c r="Q11" s="21">
        <v>0.1875</v>
      </c>
      <c r="R11" s="21">
        <v>6.25E-2</v>
      </c>
      <c r="S11" s="21">
        <v>0.42953020334243769</v>
      </c>
      <c r="T11" s="21">
        <v>0.2751677930355072</v>
      </c>
      <c r="U11" s="21">
        <v>0.1342281848192215</v>
      </c>
      <c r="V11" s="21">
        <v>0.11409395933151251</v>
      </c>
      <c r="W11" s="21">
        <v>4.6979866921901703E-2</v>
      </c>
      <c r="Z11" s="71"/>
      <c r="AA11" s="71"/>
      <c r="AB11" s="71"/>
      <c r="AC11" s="71"/>
    </row>
    <row r="12" spans="1:29" s="7" customFormat="1" x14ac:dyDescent="0.45">
      <c r="A12" s="7" t="s">
        <v>394</v>
      </c>
      <c r="B12" s="7" t="str">
        <f>VLOOKUP(C12,'Organisation names'!$B$4:$D$130,3,FALSE)</f>
        <v>Wessex</v>
      </c>
      <c r="C12" s="7" t="s">
        <v>11</v>
      </c>
      <c r="D12" s="7" t="str">
        <f>VLOOKUP(C12,'Organisation names'!$B$4:$D$130,2,FALSE)</f>
        <v>University Hospitals Dorset NHS Foundation Trust</v>
      </c>
      <c r="E12" s="72">
        <v>260</v>
      </c>
      <c r="F12" s="21">
        <v>0.10000000149011611</v>
      </c>
      <c r="G12" s="21">
        <v>0.20000000298023221</v>
      </c>
      <c r="H12" s="21">
        <v>0.38076922297477722</v>
      </c>
      <c r="I12" s="21">
        <v>0.31923076510429382</v>
      </c>
      <c r="J12" s="21">
        <v>0.1781376451253891</v>
      </c>
      <c r="K12" s="21">
        <v>7.6923079788684845E-2</v>
      </c>
      <c r="L12" s="21">
        <v>0.14979757368564611</v>
      </c>
      <c r="M12" s="21">
        <v>0.5951417088508606</v>
      </c>
      <c r="N12" s="21">
        <v>0.37288135290145868</v>
      </c>
      <c r="O12" s="21">
        <v>0.22598870098590851</v>
      </c>
      <c r="P12" s="21">
        <v>0.18079096078872681</v>
      </c>
      <c r="Q12" s="21">
        <v>0.19209039211273191</v>
      </c>
      <c r="R12" s="21">
        <v>2.824858762323856E-2</v>
      </c>
      <c r="S12" s="21">
        <v>6.1538461595773697E-2</v>
      </c>
      <c r="T12" s="21">
        <v>0.14615385234355929</v>
      </c>
      <c r="U12" s="21">
        <v>0.2423076927661896</v>
      </c>
      <c r="V12" s="21">
        <v>0.28461539745330811</v>
      </c>
      <c r="W12" s="21">
        <v>0.26538461446762079</v>
      </c>
      <c r="Z12" s="71"/>
      <c r="AA12" s="71"/>
      <c r="AB12" s="71"/>
      <c r="AC12" s="71"/>
    </row>
    <row r="13" spans="1:29" s="7" customFormat="1" x14ac:dyDescent="0.45">
      <c r="A13" s="7" t="s">
        <v>394</v>
      </c>
      <c r="B13" s="7" t="str">
        <f>VLOOKUP(C13,'Organisation names'!$B$4:$D$130,3,FALSE)</f>
        <v>Wessex</v>
      </c>
      <c r="C13" s="7" t="s">
        <v>12</v>
      </c>
      <c r="D13" s="7" t="str">
        <f>VLOOKUP(C13,'Organisation names'!$B$4:$D$130,2,FALSE)</f>
        <v>Isle Of Wight NHS Trust</v>
      </c>
      <c r="E13" s="72">
        <v>53</v>
      </c>
      <c r="F13" s="21">
        <v>5.6603774428367608E-2</v>
      </c>
      <c r="G13" s="21">
        <v>0.22641509771347049</v>
      </c>
      <c r="H13" s="21">
        <v>0.54716980457305908</v>
      </c>
      <c r="I13" s="21">
        <v>0.16981132328510279</v>
      </c>
      <c r="J13" s="21">
        <v>0.1702127605676651</v>
      </c>
      <c r="K13" s="21">
        <v>0.1276595741510391</v>
      </c>
      <c r="L13" s="21">
        <v>0.19148936867713931</v>
      </c>
      <c r="M13" s="21">
        <v>0.51063829660415649</v>
      </c>
      <c r="N13" s="21">
        <v>0.5</v>
      </c>
      <c r="O13" s="21">
        <v>0.22727273404598239</v>
      </c>
      <c r="P13" s="21">
        <v>0.18181818723678589</v>
      </c>
      <c r="Q13" s="21">
        <v>6.8181820213794708E-2</v>
      </c>
      <c r="R13" s="21">
        <v>2.272727340459824E-2</v>
      </c>
      <c r="S13" s="21">
        <v>7.5471699237823486E-2</v>
      </c>
      <c r="T13" s="21">
        <v>0.39622640609741211</v>
      </c>
      <c r="U13" s="21">
        <v>0.28301885724067688</v>
      </c>
      <c r="V13" s="21">
        <v>0.18867924809455869</v>
      </c>
      <c r="W13" s="21">
        <v>5.6603774428367608E-2</v>
      </c>
      <c r="Z13" s="71"/>
      <c r="AA13" s="71"/>
      <c r="AB13" s="71"/>
      <c r="AC13" s="71"/>
    </row>
    <row r="14" spans="1:29" s="7" customFormat="1" x14ac:dyDescent="0.45">
      <c r="A14" s="7" t="s">
        <v>394</v>
      </c>
      <c r="B14" s="7" t="str">
        <f>VLOOKUP(C14,'Organisation names'!$B$4:$D$130,3,FALSE)</f>
        <v>North East London</v>
      </c>
      <c r="C14" s="7" t="s">
        <v>13</v>
      </c>
      <c r="D14" s="7" t="str">
        <f>VLOOKUP(C14,'Organisation names'!$B$4:$D$130,2,FALSE)</f>
        <v>Barts Health NHS Trust</v>
      </c>
      <c r="E14" s="72">
        <v>181</v>
      </c>
      <c r="F14" s="21">
        <v>0.2320442050695419</v>
      </c>
      <c r="G14" s="21">
        <v>0.26519337296485901</v>
      </c>
      <c r="H14" s="21">
        <v>0.35359117388725281</v>
      </c>
      <c r="I14" s="21">
        <v>0.14917127788066861</v>
      </c>
      <c r="J14" s="21">
        <v>0.10000000149011611</v>
      </c>
      <c r="K14" s="21">
        <v>0.15714286267757421</v>
      </c>
      <c r="L14" s="21">
        <v>0.18571428954601291</v>
      </c>
      <c r="M14" s="21">
        <v>0.55714285373687744</v>
      </c>
      <c r="N14" s="46" t="s">
        <v>135</v>
      </c>
      <c r="O14" s="46" t="s">
        <v>135</v>
      </c>
      <c r="P14" s="46" t="s">
        <v>135</v>
      </c>
      <c r="Q14" s="46" t="s">
        <v>135</v>
      </c>
      <c r="R14" s="46" t="s">
        <v>135</v>
      </c>
      <c r="S14" s="21">
        <v>0.2044198960065842</v>
      </c>
      <c r="T14" s="21">
        <v>0.37016573548316961</v>
      </c>
      <c r="U14" s="21">
        <v>0.2486187815666199</v>
      </c>
      <c r="V14" s="21">
        <v>0.11602210253477099</v>
      </c>
      <c r="W14" s="21">
        <v>6.077348068356514E-2</v>
      </c>
      <c r="Z14" s="71"/>
      <c r="AA14" s="71"/>
      <c r="AB14" s="71"/>
      <c r="AC14" s="71"/>
    </row>
    <row r="15" spans="1:29" s="7" customFormat="1" x14ac:dyDescent="0.45">
      <c r="A15" s="7" t="s">
        <v>394</v>
      </c>
      <c r="B15" s="7" t="str">
        <f>VLOOKUP(C15,'Organisation names'!$B$4:$D$130,3,FALSE)</f>
        <v>RM Partners</v>
      </c>
      <c r="C15" s="7" t="s">
        <v>14</v>
      </c>
      <c r="D15" s="7" t="str">
        <f>VLOOKUP(C15,'Organisation names'!$B$4:$D$130,2,FALSE)</f>
        <v>London North West University Healthcare NHS Trust</v>
      </c>
      <c r="E15" s="72">
        <v>121</v>
      </c>
      <c r="F15" s="21">
        <v>0.1074380129575729</v>
      </c>
      <c r="G15" s="21">
        <v>0.23140496015548709</v>
      </c>
      <c r="H15" s="21">
        <v>0.28099173307418818</v>
      </c>
      <c r="I15" s="21">
        <v>0.38016527891159058</v>
      </c>
      <c r="J15" s="21">
        <v>4.8387095332145691E-2</v>
      </c>
      <c r="K15" s="21">
        <v>0.1290322542190552</v>
      </c>
      <c r="L15" s="21">
        <v>0.19354838132858279</v>
      </c>
      <c r="M15" s="21">
        <v>0.62903225421905518</v>
      </c>
      <c r="N15" s="21">
        <v>0.23529411852359769</v>
      </c>
      <c r="O15" s="21">
        <v>0.45098039507865911</v>
      </c>
      <c r="P15" s="21">
        <v>0.19607843458652499</v>
      </c>
      <c r="Q15" s="21">
        <v>9.8039217293262482E-2</v>
      </c>
      <c r="R15" s="21">
        <v>1.960784383118153E-2</v>
      </c>
      <c r="S15" s="21">
        <v>8.2644626498222351E-2</v>
      </c>
      <c r="T15" s="21">
        <v>0.2231404930353165</v>
      </c>
      <c r="U15" s="21">
        <v>0.36363637447357178</v>
      </c>
      <c r="V15" s="21">
        <v>0.23966942727565771</v>
      </c>
      <c r="W15" s="21">
        <v>9.0909093618392944E-2</v>
      </c>
      <c r="Z15" s="71"/>
      <c r="AA15" s="71"/>
      <c r="AB15" s="71"/>
      <c r="AC15" s="71"/>
    </row>
    <row r="16" spans="1:29" s="7" customFormat="1" x14ac:dyDescent="0.45">
      <c r="A16" s="7" t="s">
        <v>394</v>
      </c>
      <c r="B16" s="7" t="str">
        <f>VLOOKUP(C16,'Organisation names'!$B$4:$D$130,3,FALSE)</f>
        <v>Surrey and Sussex</v>
      </c>
      <c r="C16" s="7" t="s">
        <v>15</v>
      </c>
      <c r="D16" s="7" t="str">
        <f>VLOOKUP(C16,'Organisation names'!$B$4:$D$130,2,FALSE)</f>
        <v>Royal Surrey County Hospital NHS Foundation Trust</v>
      </c>
      <c r="E16" s="72">
        <v>199</v>
      </c>
      <c r="F16" s="21">
        <v>0.16582915186882019</v>
      </c>
      <c r="G16" s="21">
        <v>0.20100502669811249</v>
      </c>
      <c r="H16" s="21">
        <v>0.35678392648696899</v>
      </c>
      <c r="I16" s="21">
        <v>0.27638190984725952</v>
      </c>
      <c r="J16" s="21">
        <v>0.29268291592597961</v>
      </c>
      <c r="K16" s="21">
        <v>0.15447154641151431</v>
      </c>
      <c r="L16" s="21">
        <v>8.1300809979438782E-2</v>
      </c>
      <c r="M16" s="21">
        <v>0.47154471278190607</v>
      </c>
      <c r="N16" s="21">
        <v>0.42307692766189581</v>
      </c>
      <c r="O16" s="21">
        <v>0.46153846383094788</v>
      </c>
      <c r="P16" s="21">
        <v>5.128205195069313E-2</v>
      </c>
      <c r="Q16" s="21">
        <v>6.4102567732334137E-2</v>
      </c>
      <c r="R16" s="21">
        <v>0</v>
      </c>
      <c r="S16" s="21">
        <v>2.0100502297282219E-2</v>
      </c>
      <c r="T16" s="21">
        <v>6.0301508754491813E-2</v>
      </c>
      <c r="U16" s="21">
        <v>0.1758794039487839</v>
      </c>
      <c r="V16" s="21">
        <v>0.25125628709793091</v>
      </c>
      <c r="W16" s="21">
        <v>0.49246230721473688</v>
      </c>
      <c r="Z16" s="71"/>
      <c r="AA16" s="71"/>
      <c r="AB16" s="71"/>
      <c r="AC16" s="71"/>
    </row>
    <row r="17" spans="1:29" s="7" customFormat="1" x14ac:dyDescent="0.45">
      <c r="A17" s="7" t="s">
        <v>394</v>
      </c>
      <c r="B17" s="7" t="str">
        <f>VLOOKUP(C17,'Organisation names'!$B$4:$D$130,3,FALSE)</f>
        <v>Somerset, Wiltshire, Avon and Gloucestershire</v>
      </c>
      <c r="C17" s="7" t="s">
        <v>16</v>
      </c>
      <c r="D17" s="7" t="str">
        <f>VLOOKUP(C17,'Organisation names'!$B$4:$D$130,2,FALSE)</f>
        <v>University Hospitals Bristol and Weston NHS Foundation Trust</v>
      </c>
      <c r="E17" s="72">
        <v>205</v>
      </c>
      <c r="F17" s="21">
        <v>0.1658536642789841</v>
      </c>
      <c r="G17" s="21">
        <v>0.2243902385234833</v>
      </c>
      <c r="H17" s="21">
        <v>0.37073171138763428</v>
      </c>
      <c r="I17" s="21">
        <v>0.2390243858098984</v>
      </c>
      <c r="J17" s="21">
        <v>0.1721854358911514</v>
      </c>
      <c r="K17" s="21">
        <v>0.12582781910896301</v>
      </c>
      <c r="L17" s="21">
        <v>0.20529800653457639</v>
      </c>
      <c r="M17" s="21">
        <v>0.49668875336647028</v>
      </c>
      <c r="N17" s="21">
        <v>0.4583333432674408</v>
      </c>
      <c r="O17" s="21">
        <v>0.2916666567325592</v>
      </c>
      <c r="P17" s="21">
        <v>0.125</v>
      </c>
      <c r="Q17" s="21">
        <v>0</v>
      </c>
      <c r="R17" s="21">
        <v>0.125</v>
      </c>
      <c r="S17" s="21">
        <v>0.2097560912370682</v>
      </c>
      <c r="T17" s="21">
        <v>0.18536585569381711</v>
      </c>
      <c r="U17" s="21">
        <v>0.13170731067657471</v>
      </c>
      <c r="V17" s="21">
        <v>0.25365853309631348</v>
      </c>
      <c r="W17" s="21">
        <v>0.21951219439506531</v>
      </c>
      <c r="Z17" s="71"/>
      <c r="AA17" s="71"/>
      <c r="AB17" s="71"/>
      <c r="AC17" s="71"/>
    </row>
    <row r="18" spans="1:29" s="7" customFormat="1" x14ac:dyDescent="0.45">
      <c r="A18" s="7" t="s">
        <v>394</v>
      </c>
      <c r="B18" s="7" t="str">
        <f>VLOOKUP(C18,'Organisation names'!$B$4:$D$130,3,FALSE)</f>
        <v>Peninsula</v>
      </c>
      <c r="C18" s="7" t="s">
        <v>17</v>
      </c>
      <c r="D18" s="7" t="str">
        <f>VLOOKUP(C18,'Organisation names'!$B$4:$D$130,2,FALSE)</f>
        <v>Torbay and South Devon NHS Foundation Trust</v>
      </c>
      <c r="E18" s="72">
        <v>128</v>
      </c>
      <c r="F18" s="21">
        <v>8.59375E-2</v>
      </c>
      <c r="G18" s="21">
        <v>0.1796875</v>
      </c>
      <c r="H18" s="21">
        <v>0.2890625</v>
      </c>
      <c r="I18" s="21">
        <v>0.4453125</v>
      </c>
      <c r="J18" s="21">
        <v>0.1428571492433548</v>
      </c>
      <c r="K18" s="21">
        <v>0.13445378839969641</v>
      </c>
      <c r="L18" s="21">
        <v>0.17647059261798859</v>
      </c>
      <c r="M18" s="21">
        <v>0.54621851444244385</v>
      </c>
      <c r="N18" s="21">
        <v>0.40860214829444891</v>
      </c>
      <c r="O18" s="21">
        <v>0.2043010741472244</v>
      </c>
      <c r="P18" s="21">
        <v>0.1505376398563385</v>
      </c>
      <c r="Q18" s="21">
        <v>0.19354838132858279</v>
      </c>
      <c r="R18" s="21">
        <v>4.3010752648115158E-2</v>
      </c>
      <c r="S18" s="21">
        <v>0.109375</v>
      </c>
      <c r="T18" s="21">
        <v>0.296875</v>
      </c>
      <c r="U18" s="21">
        <v>0.21875</v>
      </c>
      <c r="V18" s="21">
        <v>0.2265625</v>
      </c>
      <c r="W18" s="21">
        <v>0.1484375</v>
      </c>
      <c r="Z18" s="71"/>
      <c r="AA18" s="71"/>
      <c r="AB18" s="71"/>
      <c r="AC18" s="71"/>
    </row>
    <row r="19" spans="1:29" s="7" customFormat="1" x14ac:dyDescent="0.45">
      <c r="A19" s="7" t="s">
        <v>394</v>
      </c>
      <c r="B19" s="7" t="str">
        <f>VLOOKUP(C19,'Organisation names'!$B$4:$D$130,3,FALSE)</f>
        <v>West Yorkshire and Harrogate</v>
      </c>
      <c r="C19" s="7" t="s">
        <v>18</v>
      </c>
      <c r="D19" s="7" t="str">
        <f>VLOOKUP(C19,'Organisation names'!$B$4:$D$130,2,FALSE)</f>
        <v>Bradford Teaching Hospitals NHS Foundation Trust</v>
      </c>
      <c r="E19" s="72">
        <v>91</v>
      </c>
      <c r="F19" s="21">
        <v>0.23076923191547391</v>
      </c>
      <c r="G19" s="21">
        <v>0.26373627781867981</v>
      </c>
      <c r="H19" s="21">
        <v>0.35164836049079901</v>
      </c>
      <c r="I19" s="21">
        <v>0.15384615957736969</v>
      </c>
      <c r="J19" s="21">
        <v>0.12987013161182401</v>
      </c>
      <c r="K19" s="21">
        <v>0.12987013161182401</v>
      </c>
      <c r="L19" s="21">
        <v>0.1428571492433548</v>
      </c>
      <c r="M19" s="21">
        <v>0.59740257263183594</v>
      </c>
      <c r="N19" s="21">
        <v>0.49230769276618958</v>
      </c>
      <c r="O19" s="21">
        <v>0.27692309021949768</v>
      </c>
      <c r="P19" s="21">
        <v>0.1076923087239265</v>
      </c>
      <c r="Q19" s="21">
        <v>0.1076923087239265</v>
      </c>
      <c r="R19" s="21">
        <v>1.5384615398943421E-2</v>
      </c>
      <c r="S19" s="21">
        <v>0.49450549483299261</v>
      </c>
      <c r="T19" s="21">
        <v>0.23076923191547391</v>
      </c>
      <c r="U19" s="21">
        <v>0.16483516991138461</v>
      </c>
      <c r="V19" s="21">
        <v>8.7912090122699738E-2</v>
      </c>
      <c r="W19" s="21">
        <v>2.1978022530674931E-2</v>
      </c>
      <c r="Z19" s="71"/>
      <c r="AA19" s="71"/>
      <c r="AB19" s="71"/>
      <c r="AC19" s="71"/>
    </row>
    <row r="20" spans="1:29" s="7" customFormat="1" x14ac:dyDescent="0.45">
      <c r="A20" s="7" t="s">
        <v>394</v>
      </c>
      <c r="B20" s="7" t="str">
        <f>VLOOKUP(C20,'Organisation names'!$B$4:$D$130,3,FALSE)</f>
        <v>East of England</v>
      </c>
      <c r="C20" s="7" t="s">
        <v>19</v>
      </c>
      <c r="D20" s="7" t="str">
        <f>VLOOKUP(C20,'Organisation names'!$B$4:$D$130,2,FALSE)</f>
        <v>Mid and South Essex NHS Foundation Trust</v>
      </c>
      <c r="E20" s="72">
        <v>324</v>
      </c>
      <c r="F20" s="21">
        <v>0.12654320895671839</v>
      </c>
      <c r="G20" s="21">
        <v>0.20061728358268741</v>
      </c>
      <c r="H20" s="21">
        <v>0.3333333432674408</v>
      </c>
      <c r="I20" s="21">
        <v>0.33950617909431458</v>
      </c>
      <c r="J20" s="21">
        <v>8.2251079380512238E-2</v>
      </c>
      <c r="K20" s="21">
        <v>0.15151515603065491</v>
      </c>
      <c r="L20" s="21">
        <v>9.9567100405693054E-2</v>
      </c>
      <c r="M20" s="21">
        <v>0.66666668653488159</v>
      </c>
      <c r="N20" s="21">
        <v>0.26923078298568731</v>
      </c>
      <c r="O20" s="21">
        <v>0.46153846383094788</v>
      </c>
      <c r="P20" s="21">
        <v>3.8461539894342422E-2</v>
      </c>
      <c r="Q20" s="21">
        <v>0.15384615957736969</v>
      </c>
      <c r="R20" s="21">
        <v>7.6923079788684845E-2</v>
      </c>
      <c r="S20" s="21">
        <v>0.10185185074806211</v>
      </c>
      <c r="T20" s="21">
        <v>0.2037037014961243</v>
      </c>
      <c r="U20" s="21">
        <v>0.19753086566925049</v>
      </c>
      <c r="V20" s="21">
        <v>0.26234567165374761</v>
      </c>
      <c r="W20" s="21">
        <v>0.23456789553165441</v>
      </c>
      <c r="Z20" s="71"/>
      <c r="AA20" s="71"/>
      <c r="AB20" s="71"/>
      <c r="AC20" s="71"/>
    </row>
    <row r="21" spans="1:29" s="7" customFormat="1" x14ac:dyDescent="0.45">
      <c r="A21" s="7" t="s">
        <v>394</v>
      </c>
      <c r="B21" s="7" t="str">
        <f>VLOOKUP(C21,'Organisation names'!$B$4:$D$130,3,FALSE)</f>
        <v>North Central London</v>
      </c>
      <c r="C21" s="7" t="s">
        <v>20</v>
      </c>
      <c r="D21" s="7" t="str">
        <f>VLOOKUP(C21,'Organisation names'!$B$4:$D$130,2,FALSE)</f>
        <v>Royal Free London NHS Foundation Trust</v>
      </c>
      <c r="E21" s="72">
        <v>348</v>
      </c>
      <c r="F21" s="21">
        <v>0.18390804529190061</v>
      </c>
      <c r="G21" s="21">
        <v>0.247126430273056</v>
      </c>
      <c r="H21" s="21">
        <v>0.28448274731636047</v>
      </c>
      <c r="I21" s="21">
        <v>0.28448274731636047</v>
      </c>
      <c r="J21" s="21">
        <v>0.15503875911235809</v>
      </c>
      <c r="K21" s="21">
        <v>0.14728681743144989</v>
      </c>
      <c r="L21" s="21">
        <v>6.976744532585144E-2</v>
      </c>
      <c r="M21" s="21">
        <v>0.62790697813034058</v>
      </c>
      <c r="N21" s="21">
        <v>0.47368422150611877</v>
      </c>
      <c r="O21" s="21">
        <v>0.31578946113586431</v>
      </c>
      <c r="P21" s="21">
        <v>0.1052631586790085</v>
      </c>
      <c r="Q21" s="21">
        <v>0.1052631586790085</v>
      </c>
      <c r="R21" s="21">
        <v>0</v>
      </c>
      <c r="S21" s="21">
        <v>0.14655172824859619</v>
      </c>
      <c r="T21" s="21">
        <v>0.2155172377824783</v>
      </c>
      <c r="U21" s="21">
        <v>0.24425287544727331</v>
      </c>
      <c r="V21" s="21">
        <v>0.20402298867702481</v>
      </c>
      <c r="W21" s="21">
        <v>0.18965516984462741</v>
      </c>
      <c r="Z21" s="71"/>
      <c r="AA21" s="71"/>
      <c r="AB21" s="71"/>
      <c r="AC21" s="71"/>
    </row>
    <row r="22" spans="1:29" s="7" customFormat="1" x14ac:dyDescent="0.45">
      <c r="A22" s="7" t="s">
        <v>394</v>
      </c>
      <c r="B22" s="7" t="str">
        <f>VLOOKUP(C22,'Organisation names'!$B$4:$D$130,3,FALSE)</f>
        <v>RM Partners</v>
      </c>
      <c r="C22" s="7" t="s">
        <v>21</v>
      </c>
      <c r="D22" s="7" t="str">
        <f>VLOOKUP(C22,'Organisation names'!$B$4:$D$130,2,FALSE)</f>
        <v>The Hillingdon Hospitals NHS Foundation Trust</v>
      </c>
      <c r="E22" s="72">
        <v>55</v>
      </c>
      <c r="F22" s="21">
        <v>0.14545454084873199</v>
      </c>
      <c r="G22" s="21">
        <v>0.20000000298023221</v>
      </c>
      <c r="H22" s="21">
        <v>0.30909091234207148</v>
      </c>
      <c r="I22" s="21">
        <v>0.34545454382896418</v>
      </c>
      <c r="J22" s="21">
        <v>5.2631579339504242E-2</v>
      </c>
      <c r="K22" s="21">
        <v>0.1052631586790085</v>
      </c>
      <c r="L22" s="21">
        <v>5.2631579339504242E-2</v>
      </c>
      <c r="M22" s="21">
        <v>0.78947371244430542</v>
      </c>
      <c r="N22" s="21">
        <v>0.22580644488334661</v>
      </c>
      <c r="O22" s="21">
        <v>0.19354838132858279</v>
      </c>
      <c r="P22" s="21">
        <v>9.6774190664291382E-2</v>
      </c>
      <c r="Q22" s="21">
        <v>0.29032257199287409</v>
      </c>
      <c r="R22" s="21">
        <v>0.19354838132858279</v>
      </c>
      <c r="S22" s="21">
        <v>7.2727270424365997E-2</v>
      </c>
      <c r="T22" s="21">
        <v>0.34545454382896418</v>
      </c>
      <c r="U22" s="21">
        <v>0.20000000298023221</v>
      </c>
      <c r="V22" s="21">
        <v>9.0909093618392944E-2</v>
      </c>
      <c r="W22" s="21">
        <v>0.29090908169746399</v>
      </c>
      <c r="Z22" s="71"/>
      <c r="AA22" s="71"/>
      <c r="AB22" s="71"/>
      <c r="AC22" s="71"/>
    </row>
    <row r="23" spans="1:29" s="7" customFormat="1" x14ac:dyDescent="0.45">
      <c r="A23" s="7" t="s">
        <v>394</v>
      </c>
      <c r="B23" s="7" t="str">
        <f>VLOOKUP(C23,'Organisation names'!$B$4:$D$130,3,FALSE)</f>
        <v>RM Partners</v>
      </c>
      <c r="C23" s="7" t="s">
        <v>22</v>
      </c>
      <c r="D23" s="7" t="str">
        <f>VLOOKUP(C23,'Organisation names'!$B$4:$D$130,2,FALSE)</f>
        <v>Kingston and Richmond NHS Foundation Trust</v>
      </c>
      <c r="E23" s="72">
        <v>51</v>
      </c>
      <c r="F23" s="21">
        <v>9.8039217293262482E-2</v>
      </c>
      <c r="G23" s="21">
        <v>0.1372549086809158</v>
      </c>
      <c r="H23" s="21">
        <v>0.3333333432674408</v>
      </c>
      <c r="I23" s="21">
        <v>0.43137255311012268</v>
      </c>
      <c r="J23" s="21">
        <v>6.4516127109527588E-2</v>
      </c>
      <c r="K23" s="21">
        <v>0</v>
      </c>
      <c r="L23" s="21">
        <v>0.161290317773819</v>
      </c>
      <c r="M23" s="21">
        <v>0.77419352531433105</v>
      </c>
      <c r="N23" s="21">
        <v>0.34782609343528748</v>
      </c>
      <c r="O23" s="21">
        <v>0.30434781312942499</v>
      </c>
      <c r="P23" s="21">
        <v>0.17391304671764371</v>
      </c>
      <c r="Q23" s="21">
        <v>8.6956523358821869E-2</v>
      </c>
      <c r="R23" s="21">
        <v>8.6956523358821869E-2</v>
      </c>
      <c r="S23" s="21">
        <v>0</v>
      </c>
      <c r="T23" s="21">
        <v>9.8039217293262482E-2</v>
      </c>
      <c r="U23" s="21">
        <v>9.8039217293262482E-2</v>
      </c>
      <c r="V23" s="21">
        <v>0.29411765933036799</v>
      </c>
      <c r="W23" s="21">
        <v>0.50980395078659058</v>
      </c>
      <c r="Z23" s="71"/>
      <c r="AA23" s="71"/>
      <c r="AB23" s="71"/>
      <c r="AC23" s="71"/>
    </row>
    <row r="24" spans="1:29" s="7" customFormat="1" x14ac:dyDescent="0.45">
      <c r="A24" s="7" t="s">
        <v>394</v>
      </c>
      <c r="B24" s="7" t="str">
        <f>VLOOKUP(C24,'Organisation names'!$B$4:$D$130,3,FALSE)</f>
        <v>Wessex</v>
      </c>
      <c r="C24" s="7" t="s">
        <v>23</v>
      </c>
      <c r="D24" s="7" t="str">
        <f>VLOOKUP(C24,'Organisation names'!$B$4:$D$130,2,FALSE)</f>
        <v>Dorset County Hospital NHS Foundation Trust</v>
      </c>
      <c r="E24" s="72">
        <v>79</v>
      </c>
      <c r="F24" s="21">
        <v>0.12658227980136871</v>
      </c>
      <c r="G24" s="21">
        <v>0.20253165066242221</v>
      </c>
      <c r="H24" s="21">
        <v>0.35443037748336792</v>
      </c>
      <c r="I24" s="21">
        <v>0.31645569205284119</v>
      </c>
      <c r="J24" s="21">
        <v>4.109589010477066E-2</v>
      </c>
      <c r="K24" s="21">
        <v>0.13698630034923551</v>
      </c>
      <c r="L24" s="21">
        <v>0.24657534062862399</v>
      </c>
      <c r="M24" s="21">
        <v>0.57534247636795044</v>
      </c>
      <c r="N24" s="21">
        <v>0.3888888955116272</v>
      </c>
      <c r="O24" s="21">
        <v>0.2037037014961243</v>
      </c>
      <c r="P24" s="21">
        <v>0.18518517911434171</v>
      </c>
      <c r="Q24" s="21">
        <v>0.12962962687015531</v>
      </c>
      <c r="R24" s="21">
        <v>9.2592589557170868E-2</v>
      </c>
      <c r="S24" s="21">
        <v>8.860759437084198E-2</v>
      </c>
      <c r="T24" s="21">
        <v>0.25316455960273743</v>
      </c>
      <c r="U24" s="21">
        <v>0.25316455960273743</v>
      </c>
      <c r="V24" s="21">
        <v>0.30379745364189148</v>
      </c>
      <c r="W24" s="21">
        <v>0.1012658253312111</v>
      </c>
      <c r="Z24" s="71"/>
      <c r="AA24" s="71"/>
      <c r="AB24" s="71"/>
      <c r="AC24" s="71"/>
    </row>
    <row r="25" spans="1:29" s="7" customFormat="1" x14ac:dyDescent="0.45">
      <c r="A25" s="7" t="s">
        <v>394</v>
      </c>
      <c r="B25" s="7" t="str">
        <f>VLOOKUP(C25,'Organisation names'!$B$4:$D$130,3,FALSE)</f>
        <v>West Midlands</v>
      </c>
      <c r="C25" s="7" t="s">
        <v>24</v>
      </c>
      <c r="D25" s="7" t="str">
        <f>VLOOKUP(C25,'Organisation names'!$B$4:$D$130,2,FALSE)</f>
        <v>Walsall Healthcare NHS Trust</v>
      </c>
      <c r="E25" s="72">
        <v>64</v>
      </c>
      <c r="F25" s="21">
        <v>0.109375</v>
      </c>
      <c r="G25" s="21">
        <v>0.265625</v>
      </c>
      <c r="H25" s="21">
        <v>0.34375</v>
      </c>
      <c r="I25" s="21">
        <v>0.28125</v>
      </c>
      <c r="J25" s="21">
        <v>8.5714288055896759E-2</v>
      </c>
      <c r="K25" s="21">
        <v>0.22857142984867099</v>
      </c>
      <c r="L25" s="21">
        <v>5.714285746216774E-2</v>
      </c>
      <c r="M25" s="21">
        <v>0.62857145071029663</v>
      </c>
      <c r="N25" s="21">
        <v>0.47999998927116388</v>
      </c>
      <c r="O25" s="21">
        <v>0.36000001430511469</v>
      </c>
      <c r="P25" s="21">
        <v>0.119999997317791</v>
      </c>
      <c r="Q25" s="21">
        <v>3.9999999105930328E-2</v>
      </c>
      <c r="R25" s="21">
        <v>0</v>
      </c>
      <c r="S25" s="21">
        <v>0.375</v>
      </c>
      <c r="T25" s="21">
        <v>0.125</v>
      </c>
      <c r="U25" s="21">
        <v>0.203125</v>
      </c>
      <c r="V25" s="21">
        <v>0.15625</v>
      </c>
      <c r="W25" s="21">
        <v>0.140625</v>
      </c>
      <c r="Z25" s="71"/>
      <c r="AA25" s="71"/>
      <c r="AB25" s="71"/>
      <c r="AC25" s="71"/>
    </row>
    <row r="26" spans="1:29" s="7" customFormat="1" x14ac:dyDescent="0.45">
      <c r="A26" s="7" t="s">
        <v>394</v>
      </c>
      <c r="B26" s="7" t="str">
        <f>VLOOKUP(C26,'Organisation names'!$B$4:$D$130,3,FALSE)</f>
        <v>Cheshire and Merseyside</v>
      </c>
      <c r="C26" s="7" t="s">
        <v>25</v>
      </c>
      <c r="D26" s="7" t="str">
        <f>VLOOKUP(C26,'Organisation names'!$B$4:$D$130,2,FALSE)</f>
        <v>Wirral University Teaching Hospital NHS Foundation Trust</v>
      </c>
      <c r="E26" s="72">
        <v>107</v>
      </c>
      <c r="F26" s="21">
        <v>9.3457944691181183E-2</v>
      </c>
      <c r="G26" s="21">
        <v>0.24299065768718719</v>
      </c>
      <c r="H26" s="21">
        <v>0.33644860982894897</v>
      </c>
      <c r="I26" s="21">
        <v>0.32710281014442438</v>
      </c>
      <c r="J26" s="21">
        <v>0.125</v>
      </c>
      <c r="K26" s="21">
        <v>0.1458333283662796</v>
      </c>
      <c r="L26" s="21">
        <v>0.15625</v>
      </c>
      <c r="M26" s="21">
        <v>0.57291668653488159</v>
      </c>
      <c r="N26" s="21">
        <v>0.30612245202064509</v>
      </c>
      <c r="O26" s="21">
        <v>0.47959184646606451</v>
      </c>
      <c r="P26" s="21">
        <v>0.1122448965907097</v>
      </c>
      <c r="Q26" s="21">
        <v>0.1020408198237419</v>
      </c>
      <c r="R26" s="21">
        <v>0</v>
      </c>
      <c r="S26" s="21">
        <v>0.37383177876472468</v>
      </c>
      <c r="T26" s="21">
        <v>0.13084112107753751</v>
      </c>
      <c r="U26" s="21">
        <v>0.13084112107753751</v>
      </c>
      <c r="V26" s="21">
        <v>0.1962616890668869</v>
      </c>
      <c r="W26" s="21">
        <v>0.16822430491447449</v>
      </c>
      <c r="Z26" s="71"/>
      <c r="AA26" s="71"/>
      <c r="AB26" s="71"/>
      <c r="AC26" s="71"/>
    </row>
    <row r="27" spans="1:29" s="7" customFormat="1" x14ac:dyDescent="0.45">
      <c r="A27" s="7" t="s">
        <v>394</v>
      </c>
      <c r="B27" s="7" t="str">
        <f>VLOOKUP(C27,'Organisation names'!$B$4:$D$130,3,FALSE)</f>
        <v>Cheshire and Merseyside</v>
      </c>
      <c r="C27" s="7" t="s">
        <v>26</v>
      </c>
      <c r="D27" s="7" t="str">
        <f>VLOOKUP(C27,'Organisation names'!$B$4:$D$130,2,FALSE)</f>
        <v>Mersey And West Lancashire Teaching Hospitals NHS Trust</v>
      </c>
      <c r="E27" s="72">
        <v>145</v>
      </c>
      <c r="F27" s="21">
        <v>8.2758620381355286E-2</v>
      </c>
      <c r="G27" s="21">
        <v>0.17931035161018369</v>
      </c>
      <c r="H27" s="21">
        <v>0.37241378426551819</v>
      </c>
      <c r="I27" s="21">
        <v>0.36551722884178162</v>
      </c>
      <c r="J27" s="21">
        <v>5.46875E-2</v>
      </c>
      <c r="K27" s="21">
        <v>9.375E-2</v>
      </c>
      <c r="L27" s="21">
        <v>0.1171875</v>
      </c>
      <c r="M27" s="21">
        <v>0.734375</v>
      </c>
      <c r="N27" s="21">
        <v>0.16513761878013611</v>
      </c>
      <c r="O27" s="21">
        <v>0.39449542760848999</v>
      </c>
      <c r="P27" s="21">
        <v>0.24770642817020419</v>
      </c>
      <c r="Q27" s="21">
        <v>0.17431192100048071</v>
      </c>
      <c r="R27" s="21">
        <v>1.8348623067140579E-2</v>
      </c>
      <c r="S27" s="21">
        <v>0.35172414779663091</v>
      </c>
      <c r="T27" s="21">
        <v>0.1310344785451889</v>
      </c>
      <c r="U27" s="21">
        <v>0.24827586114406591</v>
      </c>
      <c r="V27" s="21">
        <v>0.1379310339689255</v>
      </c>
      <c r="W27" s="21">
        <v>0.1310344785451889</v>
      </c>
      <c r="Z27" s="71"/>
      <c r="AA27" s="71"/>
      <c r="AB27" s="71"/>
      <c r="AC27" s="71"/>
    </row>
    <row r="28" spans="1:29" s="7" customFormat="1" x14ac:dyDescent="0.45">
      <c r="A28" s="7" t="s">
        <v>394</v>
      </c>
      <c r="B28" s="7" t="str">
        <f>VLOOKUP(C28,'Organisation names'!$B$4:$D$130,3,FALSE)</f>
        <v>Cheshire and Merseyside</v>
      </c>
      <c r="C28" s="7" t="s">
        <v>27</v>
      </c>
      <c r="D28" s="7" t="str">
        <f>VLOOKUP(C28,'Organisation names'!$B$4:$D$130,2,FALSE)</f>
        <v>Mid Cheshire Hospitals NHS Foundation Trust</v>
      </c>
      <c r="E28" s="72">
        <v>96</v>
      </c>
      <c r="F28" s="21">
        <v>7.2916664183139801E-2</v>
      </c>
      <c r="G28" s="21">
        <v>0.2604166567325592</v>
      </c>
      <c r="H28" s="21">
        <v>0.3854166567325592</v>
      </c>
      <c r="I28" s="21">
        <v>0.28125</v>
      </c>
      <c r="J28" s="21">
        <v>6.8181820213794708E-2</v>
      </c>
      <c r="K28" s="21">
        <v>0.11363636702299119</v>
      </c>
      <c r="L28" s="21">
        <v>0.15909090638160711</v>
      </c>
      <c r="M28" s="21">
        <v>0.65909093618392944</v>
      </c>
      <c r="N28" s="21">
        <v>0.30487805604934692</v>
      </c>
      <c r="O28" s="21">
        <v>0.25609755516052252</v>
      </c>
      <c r="P28" s="21">
        <v>0.26829269528388983</v>
      </c>
      <c r="Q28" s="21">
        <v>0.17073170840740201</v>
      </c>
      <c r="R28" s="21">
        <v>0</v>
      </c>
      <c r="S28" s="21">
        <v>0.1145833358168602</v>
      </c>
      <c r="T28" s="21">
        <v>0.125</v>
      </c>
      <c r="U28" s="21">
        <v>0.1770833283662796</v>
      </c>
      <c r="V28" s="21">
        <v>0.2291666716337204</v>
      </c>
      <c r="W28" s="21">
        <v>0.3541666567325592</v>
      </c>
      <c r="Z28" s="71"/>
      <c r="AA28" s="71"/>
      <c r="AB28" s="71"/>
      <c r="AC28" s="71"/>
    </row>
    <row r="29" spans="1:29" s="7" customFormat="1" x14ac:dyDescent="0.45">
      <c r="A29" s="7" t="s">
        <v>394</v>
      </c>
      <c r="B29" s="7" t="str">
        <f>VLOOKUP(C29,'Organisation names'!$B$4:$D$130,3,FALSE)</f>
        <v>East of England</v>
      </c>
      <c r="C29" s="7" t="s">
        <v>29</v>
      </c>
      <c r="D29" s="7" t="str">
        <f>VLOOKUP(C29,'Organisation names'!$B$4:$D$130,2,FALSE)</f>
        <v>Bedfordshire Hospitals NHS Foundation Trust</v>
      </c>
      <c r="E29" s="72">
        <v>137</v>
      </c>
      <c r="F29" s="21">
        <v>0.13868613541126251</v>
      </c>
      <c r="G29" s="21">
        <v>0.21897810697555539</v>
      </c>
      <c r="H29" s="21">
        <v>0.28467154502868652</v>
      </c>
      <c r="I29" s="21">
        <v>0.35766422748565668</v>
      </c>
      <c r="J29" s="21">
        <v>0.1030927821993828</v>
      </c>
      <c r="K29" s="21">
        <v>7.2164945304393768E-2</v>
      </c>
      <c r="L29" s="21">
        <v>0.1340206116437912</v>
      </c>
      <c r="M29" s="21">
        <v>0.69072163105010986</v>
      </c>
      <c r="N29" s="21">
        <v>0.4375</v>
      </c>
      <c r="O29" s="21">
        <v>0.203125</v>
      </c>
      <c r="P29" s="21">
        <v>0.171875</v>
      </c>
      <c r="Q29" s="21">
        <v>0.140625</v>
      </c>
      <c r="R29" s="21">
        <v>4.6875E-2</v>
      </c>
      <c r="S29" s="21">
        <v>0.1167883202433586</v>
      </c>
      <c r="T29" s="21">
        <v>0.14598539471626279</v>
      </c>
      <c r="U29" s="21">
        <v>0.16788321733474729</v>
      </c>
      <c r="V29" s="21">
        <v>0.21167883276939389</v>
      </c>
      <c r="W29" s="21">
        <v>0.35766422748565668</v>
      </c>
      <c r="Z29" s="71"/>
      <c r="AA29" s="71"/>
      <c r="AB29" s="71"/>
      <c r="AC29" s="71"/>
    </row>
    <row r="30" spans="1:29" s="7" customFormat="1" x14ac:dyDescent="0.45">
      <c r="A30" s="7" t="s">
        <v>394</v>
      </c>
      <c r="B30" s="7" t="str">
        <f>VLOOKUP(C30,'Organisation names'!$B$4:$D$130,3,FALSE)</f>
        <v>Humber and North Yorkshire</v>
      </c>
      <c r="C30" s="7" t="s">
        <v>30</v>
      </c>
      <c r="D30" s="7" t="str">
        <f>VLOOKUP(C30,'Organisation names'!$B$4:$D$130,2,FALSE)</f>
        <v>York and Scarborough Teaching Hospitals NHS Foundation Trust</v>
      </c>
      <c r="E30" s="72">
        <v>187</v>
      </c>
      <c r="F30" s="21">
        <v>8.021390438079834E-2</v>
      </c>
      <c r="G30" s="21">
        <v>0.20855614542961121</v>
      </c>
      <c r="H30" s="21">
        <v>0.35294118523597717</v>
      </c>
      <c r="I30" s="21">
        <v>0.35828876495361328</v>
      </c>
      <c r="J30" s="21">
        <v>9.3333333730697632E-2</v>
      </c>
      <c r="K30" s="21">
        <v>0.13333334028720861</v>
      </c>
      <c r="L30" s="21">
        <v>0.1266666650772095</v>
      </c>
      <c r="M30" s="21">
        <v>0.64666664600372314</v>
      </c>
      <c r="N30" s="21">
        <v>0.26612904667854309</v>
      </c>
      <c r="O30" s="21">
        <v>0.25806450843811041</v>
      </c>
      <c r="P30" s="21">
        <v>0.20967741310596469</v>
      </c>
      <c r="Q30" s="21">
        <v>0.22580644488334661</v>
      </c>
      <c r="R30" s="21">
        <v>4.0322579443454742E-2</v>
      </c>
      <c r="S30" s="21">
        <v>9.0909093618392944E-2</v>
      </c>
      <c r="T30" s="21">
        <v>0.16042780876159671</v>
      </c>
      <c r="U30" s="21">
        <v>0.1978609561920166</v>
      </c>
      <c r="V30" s="21">
        <v>0.1978609561920166</v>
      </c>
      <c r="W30" s="21">
        <v>0.35294118523597717</v>
      </c>
      <c r="Z30" s="71"/>
      <c r="AA30" s="71"/>
      <c r="AB30" s="71"/>
      <c r="AC30" s="71"/>
    </row>
    <row r="31" spans="1:29" s="7" customFormat="1" x14ac:dyDescent="0.45">
      <c r="A31" s="7" t="s">
        <v>394</v>
      </c>
      <c r="B31" s="7" t="str">
        <f>VLOOKUP(C31,'Organisation names'!$B$4:$D$130,3,FALSE)</f>
        <v>West Yorkshire and Harrogate</v>
      </c>
      <c r="C31" s="7" t="s">
        <v>31</v>
      </c>
      <c r="D31" s="7" t="str">
        <f>VLOOKUP(C31,'Organisation names'!$B$4:$D$130,2,FALSE)</f>
        <v>Harrogate and District NHS Foundation Trust</v>
      </c>
      <c r="E31" s="72">
        <v>64</v>
      </c>
      <c r="F31" s="21">
        <v>0.125</v>
      </c>
      <c r="G31" s="21">
        <v>0.203125</v>
      </c>
      <c r="H31" s="21">
        <v>0.34375</v>
      </c>
      <c r="I31" s="21">
        <v>0.328125</v>
      </c>
      <c r="J31" s="21">
        <v>0.1206896528601646</v>
      </c>
      <c r="K31" s="21">
        <v>8.6206898093223572E-2</v>
      </c>
      <c r="L31" s="21">
        <v>0.10344827920198441</v>
      </c>
      <c r="M31" s="21">
        <v>0.68965518474578857</v>
      </c>
      <c r="N31" s="21">
        <v>0.32432430982589722</v>
      </c>
      <c r="O31" s="21">
        <v>0.35135135054588318</v>
      </c>
      <c r="P31" s="21">
        <v>0.1081081107258797</v>
      </c>
      <c r="Q31" s="21">
        <v>0.1891891956329346</v>
      </c>
      <c r="R31" s="21">
        <v>2.7027027681469921E-2</v>
      </c>
      <c r="S31" s="21">
        <v>0</v>
      </c>
      <c r="T31" s="21">
        <v>3.125E-2</v>
      </c>
      <c r="U31" s="21">
        <v>0.234375</v>
      </c>
      <c r="V31" s="21">
        <v>0.34375</v>
      </c>
      <c r="W31" s="21">
        <v>0.390625</v>
      </c>
      <c r="Z31" s="71"/>
      <c r="AA31" s="71"/>
      <c r="AB31" s="71"/>
      <c r="AC31" s="71"/>
    </row>
    <row r="32" spans="1:29" s="7" customFormat="1" x14ac:dyDescent="0.45">
      <c r="A32" s="7" t="s">
        <v>394</v>
      </c>
      <c r="B32" s="7" t="str">
        <f>VLOOKUP(C32,'Organisation names'!$B$4:$D$130,3,FALSE)</f>
        <v>West Yorkshire and Harrogate</v>
      </c>
      <c r="C32" s="7" t="s">
        <v>32</v>
      </c>
      <c r="D32" s="7" t="str">
        <f>VLOOKUP(C32,'Organisation names'!$B$4:$D$130,2,FALSE)</f>
        <v>Airedale NHS Foundation Trust</v>
      </c>
      <c r="E32" s="72">
        <v>75</v>
      </c>
      <c r="F32" s="21">
        <v>0.14666666090488431</v>
      </c>
      <c r="G32" s="21">
        <v>0.25333333015441889</v>
      </c>
      <c r="H32" s="21">
        <v>0.34666666388511658</v>
      </c>
      <c r="I32" s="21">
        <v>0.25333333015441889</v>
      </c>
      <c r="J32" s="21">
        <v>0.15942029654979711</v>
      </c>
      <c r="K32" s="21">
        <v>0.18840579688549039</v>
      </c>
      <c r="L32" s="21">
        <v>8.6956523358821869E-2</v>
      </c>
      <c r="M32" s="21">
        <v>0.56521737575531006</v>
      </c>
      <c r="N32" s="21">
        <v>0.31481480598449713</v>
      </c>
      <c r="O32" s="21">
        <v>0.2407407462596893</v>
      </c>
      <c r="P32" s="21">
        <v>0.1666666716337204</v>
      </c>
      <c r="Q32" s="21">
        <v>0.2222222238779068</v>
      </c>
      <c r="R32" s="21">
        <v>5.55555559694767E-2</v>
      </c>
      <c r="S32" s="21">
        <v>0.15999999642372131</v>
      </c>
      <c r="T32" s="21">
        <v>0.13333334028720861</v>
      </c>
      <c r="U32" s="21">
        <v>0.21333333849906921</v>
      </c>
      <c r="V32" s="21">
        <v>0.26666668057441711</v>
      </c>
      <c r="W32" s="21">
        <v>0.22666667401790619</v>
      </c>
      <c r="Z32" s="71"/>
      <c r="AA32" s="71"/>
      <c r="AB32" s="71"/>
      <c r="AC32" s="71"/>
    </row>
    <row r="33" spans="1:29" s="7" customFormat="1" x14ac:dyDescent="0.45">
      <c r="A33" s="7" t="s">
        <v>394</v>
      </c>
      <c r="B33" s="7" t="str">
        <f>VLOOKUP(C33,'Organisation names'!$B$4:$D$130,3,FALSE)</f>
        <v>East of England</v>
      </c>
      <c r="C33" s="7" t="s">
        <v>33</v>
      </c>
      <c r="D33" s="7" t="str">
        <f>VLOOKUP(C33,'Organisation names'!$B$4:$D$130,2,FALSE)</f>
        <v>The Queen Elizabeth Hospital, King's Lynn, NHS Foundation Trust</v>
      </c>
      <c r="E33" s="72">
        <v>93</v>
      </c>
      <c r="F33" s="21">
        <v>0.1182795688509941</v>
      </c>
      <c r="G33" s="21">
        <v>0.2043010741472244</v>
      </c>
      <c r="H33" s="21">
        <v>0.35483869910240168</v>
      </c>
      <c r="I33" s="21">
        <v>0.32258063554763788</v>
      </c>
      <c r="J33" s="21">
        <v>0.12676055729389191</v>
      </c>
      <c r="K33" s="21">
        <v>0.12676055729389191</v>
      </c>
      <c r="L33" s="21">
        <v>0.18309858441352839</v>
      </c>
      <c r="M33" s="21">
        <v>0.56338030099868774</v>
      </c>
      <c r="N33" s="21">
        <v>0.30882352590560908</v>
      </c>
      <c r="O33" s="21">
        <v>0.27941176295280462</v>
      </c>
      <c r="P33" s="21">
        <v>0.20588235557079321</v>
      </c>
      <c r="Q33" s="21">
        <v>0.1617647111415863</v>
      </c>
      <c r="R33" s="21">
        <v>4.4117648154497147E-2</v>
      </c>
      <c r="S33" s="21">
        <v>0.1720430105924606</v>
      </c>
      <c r="T33" s="21">
        <v>0.32258063554763788</v>
      </c>
      <c r="U33" s="21">
        <v>0.41935482621192932</v>
      </c>
      <c r="V33" s="21">
        <v>3.2258063554763787E-2</v>
      </c>
      <c r="W33" s="21">
        <v>5.3763441741466522E-2</v>
      </c>
      <c r="Z33" s="71"/>
      <c r="AA33" s="71"/>
      <c r="AB33" s="71"/>
      <c r="AC33" s="71"/>
    </row>
    <row r="34" spans="1:29" s="7" customFormat="1" x14ac:dyDescent="0.45">
      <c r="A34" s="7" t="s">
        <v>394</v>
      </c>
      <c r="B34" s="7" t="str">
        <f>VLOOKUP(C34,'Organisation names'!$B$4:$D$130,3,FALSE)</f>
        <v>Somerset, Wiltshire, Avon and Gloucestershire</v>
      </c>
      <c r="C34" s="7" t="s">
        <v>34</v>
      </c>
      <c r="D34" s="7" t="str">
        <f>VLOOKUP(C34,'Organisation names'!$B$4:$D$130,2,FALSE)</f>
        <v>Royal United Hospitals Bath NHS Foundation Trust</v>
      </c>
      <c r="E34" s="72">
        <v>127</v>
      </c>
      <c r="F34" s="21">
        <v>0.15748031437397</v>
      </c>
      <c r="G34" s="21">
        <v>0.11811023950576779</v>
      </c>
      <c r="H34" s="21">
        <v>0.40157479047775269</v>
      </c>
      <c r="I34" s="21">
        <v>0.32283464074134832</v>
      </c>
      <c r="J34" s="21">
        <v>7.6923079788684845E-2</v>
      </c>
      <c r="K34" s="21">
        <v>0.1428571492433548</v>
      </c>
      <c r="L34" s="21">
        <v>0.1318681389093399</v>
      </c>
      <c r="M34" s="21">
        <v>0.64835166931152344</v>
      </c>
      <c r="N34" s="21">
        <v>0.4285714328289032</v>
      </c>
      <c r="O34" s="21">
        <v>0.2261904776096344</v>
      </c>
      <c r="P34" s="21">
        <v>9.5238097012042999E-2</v>
      </c>
      <c r="Q34" s="21">
        <v>0.2023809552192688</v>
      </c>
      <c r="R34" s="21">
        <v>4.76190485060215E-2</v>
      </c>
      <c r="S34" s="21">
        <v>1.5748031437397E-2</v>
      </c>
      <c r="T34" s="21">
        <v>0.1338582634925842</v>
      </c>
      <c r="U34" s="21">
        <v>0.22047244012355799</v>
      </c>
      <c r="V34" s="21">
        <v>0.27559053897857672</v>
      </c>
      <c r="W34" s="21">
        <v>0.35433071851730352</v>
      </c>
      <c r="Z34" s="71"/>
      <c r="AA34" s="71"/>
      <c r="AB34" s="71"/>
      <c r="AC34" s="71"/>
    </row>
    <row r="35" spans="1:29" s="7" customFormat="1" x14ac:dyDescent="0.45">
      <c r="A35" s="7" t="s">
        <v>394</v>
      </c>
      <c r="B35" s="7" t="str">
        <f>VLOOKUP(C35,'Organisation names'!$B$4:$D$130,3,FALSE)</f>
        <v>East of England</v>
      </c>
      <c r="C35" s="7" t="s">
        <v>35</v>
      </c>
      <c r="D35" s="7" t="str">
        <f>VLOOKUP(C35,'Organisation names'!$B$4:$D$130,2,FALSE)</f>
        <v>Milton Keynes University Hospital NHS Foundation Trust</v>
      </c>
      <c r="E35" s="72">
        <v>88</v>
      </c>
      <c r="F35" s="21">
        <v>9.0909093618392944E-2</v>
      </c>
      <c r="G35" s="21">
        <v>0.23863635957241061</v>
      </c>
      <c r="H35" s="21">
        <v>0.375</v>
      </c>
      <c r="I35" s="21">
        <v>0.29545453190803528</v>
      </c>
      <c r="J35" s="21">
        <v>5.3333334624767303E-2</v>
      </c>
      <c r="K35" s="21">
        <v>0.17333333194255829</v>
      </c>
      <c r="L35" s="21">
        <v>0.14666666090488431</v>
      </c>
      <c r="M35" s="21">
        <v>0.62666666507720947</v>
      </c>
      <c r="N35" s="21">
        <v>0.2916666567325592</v>
      </c>
      <c r="O35" s="21">
        <v>0.4166666567325592</v>
      </c>
      <c r="P35" s="21">
        <v>0.1666666716337204</v>
      </c>
      <c r="Q35" s="21">
        <v>0.125</v>
      </c>
      <c r="R35" s="21">
        <v>0</v>
      </c>
      <c r="S35" s="21">
        <v>7.9545453190803528E-2</v>
      </c>
      <c r="T35" s="21">
        <v>0.18181818723678589</v>
      </c>
      <c r="U35" s="21">
        <v>0.11363636702299119</v>
      </c>
      <c r="V35" s="21">
        <v>0.29545453190803528</v>
      </c>
      <c r="W35" s="21">
        <v>0.32954546809196472</v>
      </c>
      <c r="Z35" s="71"/>
      <c r="AA35" s="71"/>
      <c r="AB35" s="71"/>
      <c r="AC35" s="71"/>
    </row>
    <row r="36" spans="1:29" s="7" customFormat="1" x14ac:dyDescent="0.45">
      <c r="A36" s="7" t="s">
        <v>394</v>
      </c>
      <c r="B36" s="7" t="str">
        <f>VLOOKUP(C36,'Organisation names'!$B$4:$D$130,3,FALSE)</f>
        <v>East of England</v>
      </c>
      <c r="C36" s="7" t="s">
        <v>36</v>
      </c>
      <c r="D36" s="7" t="str">
        <f>VLOOKUP(C36,'Organisation names'!$B$4:$D$130,2,FALSE)</f>
        <v>East Suffolk and North Essex NHS Foundation Trust</v>
      </c>
      <c r="E36" s="72">
        <v>244</v>
      </c>
      <c r="F36" s="21">
        <v>0.1311475336551666</v>
      </c>
      <c r="G36" s="21">
        <v>0.16393442451953891</v>
      </c>
      <c r="H36" s="21">
        <v>0.3401639461517334</v>
      </c>
      <c r="I36" s="21">
        <v>0.36475411057472229</v>
      </c>
      <c r="J36" s="21">
        <v>0.1138613894581795</v>
      </c>
      <c r="K36" s="21">
        <v>8.4158413112163544E-2</v>
      </c>
      <c r="L36" s="21">
        <v>0.14356435835361481</v>
      </c>
      <c r="M36" s="21">
        <v>0.65841585397720337</v>
      </c>
      <c r="N36" s="21">
        <v>0.36363637447357178</v>
      </c>
      <c r="O36" s="21">
        <v>0.32867133617401117</v>
      </c>
      <c r="P36" s="21">
        <v>0.16783216595649719</v>
      </c>
      <c r="Q36" s="21">
        <v>0.12587413191795349</v>
      </c>
      <c r="R36" s="21">
        <v>1.3986013829708099E-2</v>
      </c>
      <c r="S36" s="21">
        <v>0.15573769807815549</v>
      </c>
      <c r="T36" s="21">
        <v>0.12704917788505549</v>
      </c>
      <c r="U36" s="21">
        <v>0.29098361730575562</v>
      </c>
      <c r="V36" s="21">
        <v>0.20081967115402219</v>
      </c>
      <c r="W36" s="21">
        <v>0.22540983557701111</v>
      </c>
      <c r="Z36" s="71"/>
      <c r="AA36" s="71"/>
      <c r="AB36" s="71"/>
      <c r="AC36" s="71"/>
    </row>
    <row r="37" spans="1:29" s="7" customFormat="1" x14ac:dyDescent="0.45">
      <c r="A37" s="7" t="s">
        <v>394</v>
      </c>
      <c r="B37" s="7" t="str">
        <f>VLOOKUP(C37,'Organisation names'!$B$4:$D$130,3,FALSE)</f>
        <v>Surrey and Sussex</v>
      </c>
      <c r="C37" s="7" t="s">
        <v>37</v>
      </c>
      <c r="D37" s="7" t="str">
        <f>VLOOKUP(C37,'Organisation names'!$B$4:$D$130,2,FALSE)</f>
        <v>Frimley Health NHS Foundation Trust</v>
      </c>
      <c r="E37" s="72">
        <v>194</v>
      </c>
      <c r="F37" s="21">
        <v>0.1340206116437912</v>
      </c>
      <c r="G37" s="21">
        <v>0.1958762854337692</v>
      </c>
      <c r="H37" s="21">
        <v>0.32474225759506231</v>
      </c>
      <c r="I37" s="21">
        <v>0.34536081552505488</v>
      </c>
      <c r="J37" s="21">
        <v>0.14399999380111689</v>
      </c>
      <c r="K37" s="21">
        <v>0.13600000739097601</v>
      </c>
      <c r="L37" s="21">
        <v>9.6000000834465027E-2</v>
      </c>
      <c r="M37" s="21">
        <v>0.62400001287460327</v>
      </c>
      <c r="N37" s="21">
        <v>0.4285714328289032</v>
      </c>
      <c r="O37" s="21">
        <v>0.32967033982276922</v>
      </c>
      <c r="P37" s="21">
        <v>0.1208791211247444</v>
      </c>
      <c r="Q37" s="21">
        <v>0.10989011079072949</v>
      </c>
      <c r="R37" s="21">
        <v>1.0989011265337471E-2</v>
      </c>
      <c r="S37" s="21">
        <v>2.061855606734753E-2</v>
      </c>
      <c r="T37" s="21">
        <v>8.7628863751888275E-2</v>
      </c>
      <c r="U37" s="21">
        <v>0.128865972161293</v>
      </c>
      <c r="V37" s="21">
        <v>0.23711340129375461</v>
      </c>
      <c r="W37" s="21">
        <v>0.52577316761016846</v>
      </c>
      <c r="Z37" s="71"/>
      <c r="AA37" s="71"/>
      <c r="AB37" s="71"/>
      <c r="AC37" s="71"/>
    </row>
    <row r="38" spans="1:29" s="7" customFormat="1" x14ac:dyDescent="0.45">
      <c r="A38" s="7" t="s">
        <v>394</v>
      </c>
      <c r="B38" s="7" t="str">
        <f>VLOOKUP(C38,'Organisation names'!$B$4:$D$130,3,FALSE)</f>
        <v>Peninsula</v>
      </c>
      <c r="C38" s="7" t="s">
        <v>38</v>
      </c>
      <c r="D38" s="7" t="str">
        <f>VLOOKUP(C38,'Organisation names'!$B$4:$D$130,2,FALSE)</f>
        <v>Royal Cornwall Hospitals NHS Trust</v>
      </c>
      <c r="E38" s="72">
        <v>173</v>
      </c>
      <c r="F38" s="21">
        <v>8.0924853682518005E-2</v>
      </c>
      <c r="G38" s="21">
        <v>0.25433525443077087</v>
      </c>
      <c r="H38" s="21">
        <v>0.34104046225547791</v>
      </c>
      <c r="I38" s="21">
        <v>0.32369941473007202</v>
      </c>
      <c r="J38" s="21">
        <v>0.13286712765693659</v>
      </c>
      <c r="K38" s="21">
        <v>9.7902096807956696E-2</v>
      </c>
      <c r="L38" s="21">
        <v>0.1188811212778091</v>
      </c>
      <c r="M38" s="21">
        <v>0.65034967660903931</v>
      </c>
      <c r="N38" s="21">
        <v>0.38129496574401861</v>
      </c>
      <c r="O38" s="21">
        <v>0.38848921656608582</v>
      </c>
      <c r="P38" s="21">
        <v>0.1223021596670151</v>
      </c>
      <c r="Q38" s="21">
        <v>9.3525178730487823E-2</v>
      </c>
      <c r="R38" s="21">
        <v>1.438848953694105E-2</v>
      </c>
      <c r="S38" s="21">
        <v>0.14450867474079129</v>
      </c>
      <c r="T38" s="21">
        <v>0.41040462255477911</v>
      </c>
      <c r="U38" s="21">
        <v>0.29479768872261047</v>
      </c>
      <c r="V38" s="21">
        <v>0.13294798135757449</v>
      </c>
      <c r="W38" s="21">
        <v>1.734104007482529E-2</v>
      </c>
      <c r="Z38" s="71"/>
      <c r="AA38" s="71"/>
      <c r="AB38" s="71"/>
      <c r="AC38" s="71"/>
    </row>
    <row r="39" spans="1:29" s="7" customFormat="1" x14ac:dyDescent="0.45">
      <c r="A39" s="7" t="s">
        <v>394</v>
      </c>
      <c r="B39" s="7" t="str">
        <f>VLOOKUP(C39,'Organisation names'!$B$4:$D$130,3,FALSE)</f>
        <v>Cheshire and Merseyside</v>
      </c>
      <c r="C39" s="7" t="s">
        <v>39</v>
      </c>
      <c r="D39" s="7" t="str">
        <f>VLOOKUP(C39,'Organisation names'!$B$4:$D$130,2,FALSE)</f>
        <v>Liverpool University Hospitals NHS Foundation Trust</v>
      </c>
      <c r="E39" s="72">
        <v>298</v>
      </c>
      <c r="F39" s="21">
        <v>0.1510067135095596</v>
      </c>
      <c r="G39" s="21">
        <v>0.23825503885745999</v>
      </c>
      <c r="H39" s="21">
        <v>0.35906040668487549</v>
      </c>
      <c r="I39" s="21">
        <v>0.25167784094810491</v>
      </c>
      <c r="J39" s="21">
        <v>0.1148325353860855</v>
      </c>
      <c r="K39" s="21">
        <v>0.13397128880023959</v>
      </c>
      <c r="L39" s="21">
        <v>0.20574162900447851</v>
      </c>
      <c r="M39" s="21">
        <v>0.54545456171035767</v>
      </c>
      <c r="N39" s="21">
        <v>0.43965518474578857</v>
      </c>
      <c r="O39" s="21">
        <v>0.31465518474578857</v>
      </c>
      <c r="P39" s="21">
        <v>0.14655172824859619</v>
      </c>
      <c r="Q39" s="21">
        <v>9.482758492231369E-2</v>
      </c>
      <c r="R39" s="21">
        <v>4.3103448115289211E-3</v>
      </c>
      <c r="S39" s="21">
        <v>0.45973154902458191</v>
      </c>
      <c r="T39" s="21">
        <v>0.15771812200546259</v>
      </c>
      <c r="U39" s="21">
        <v>0.1107382550835609</v>
      </c>
      <c r="V39" s="21">
        <v>0.1375838965177536</v>
      </c>
      <c r="W39" s="21">
        <v>0.1342281848192215</v>
      </c>
      <c r="Z39" s="71"/>
      <c r="AA39" s="71"/>
      <c r="AB39" s="71"/>
      <c r="AC39" s="71"/>
    </row>
    <row r="40" spans="1:29" s="7" customFormat="1" x14ac:dyDescent="0.45">
      <c r="A40" s="7" t="s">
        <v>394</v>
      </c>
      <c r="B40" s="7" t="str">
        <f>VLOOKUP(C40,'Organisation names'!$B$4:$D$130,3,FALSE)</f>
        <v>North East London</v>
      </c>
      <c r="C40" s="7" t="s">
        <v>41</v>
      </c>
      <c r="D40" s="7" t="str">
        <f>VLOOKUP(C40,'Organisation names'!$B$4:$D$130,2,FALSE)</f>
        <v>Barking, Havering and Redbridge University Hospitals NHS Trust</v>
      </c>
      <c r="E40" s="72">
        <v>142</v>
      </c>
      <c r="F40" s="21">
        <v>0.1549295783042908</v>
      </c>
      <c r="G40" s="21">
        <v>0.21126760542392731</v>
      </c>
      <c r="H40" s="21">
        <v>0.31690141558647161</v>
      </c>
      <c r="I40" s="21">
        <v>0.31690141558647161</v>
      </c>
      <c r="J40" s="21">
        <v>0.1020408198237419</v>
      </c>
      <c r="K40" s="21">
        <v>0.1428571492433548</v>
      </c>
      <c r="L40" s="21">
        <v>0.1122448965907097</v>
      </c>
      <c r="M40" s="21">
        <v>0.6428571343421936</v>
      </c>
      <c r="N40" s="21">
        <v>0.1875</v>
      </c>
      <c r="O40" s="21">
        <v>0.328125</v>
      </c>
      <c r="P40" s="21">
        <v>0.265625</v>
      </c>
      <c r="Q40" s="21">
        <v>0.171875</v>
      </c>
      <c r="R40" s="21">
        <v>4.6875E-2</v>
      </c>
      <c r="S40" s="21">
        <v>0.14084507524967191</v>
      </c>
      <c r="T40" s="21">
        <v>0.26760563254356379</v>
      </c>
      <c r="U40" s="21">
        <v>0.30281689763069147</v>
      </c>
      <c r="V40" s="21">
        <v>0.19014084339141851</v>
      </c>
      <c r="W40" s="21">
        <v>9.8591551184654236E-2</v>
      </c>
      <c r="Z40" s="71"/>
      <c r="AA40" s="71"/>
      <c r="AB40" s="71"/>
      <c r="AC40" s="71"/>
    </row>
    <row r="41" spans="1:29" s="7" customFormat="1" x14ac:dyDescent="0.45">
      <c r="A41" s="7" t="s">
        <v>394</v>
      </c>
      <c r="B41" s="7" t="str">
        <f>VLOOKUP(C41,'Organisation names'!$B$4:$D$130,3,FALSE)</f>
        <v>South Yorkshire and Bassetlaw</v>
      </c>
      <c r="C41" s="7" t="s">
        <v>42</v>
      </c>
      <c r="D41" s="7" t="str">
        <f>VLOOKUP(C41,'Organisation names'!$B$4:$D$130,2,FALSE)</f>
        <v>Barnsley Hospital NHS Foundation Trust</v>
      </c>
      <c r="E41" s="72">
        <v>80</v>
      </c>
      <c r="F41" s="21">
        <v>8.7499998509883881E-2</v>
      </c>
      <c r="G41" s="21">
        <v>0.22499999403953549</v>
      </c>
      <c r="H41" s="21">
        <v>0.34999999403953552</v>
      </c>
      <c r="I41" s="21">
        <v>0.33750000596046448</v>
      </c>
      <c r="J41" s="21">
        <v>0.1428571492433548</v>
      </c>
      <c r="K41" s="21">
        <v>0.1428571492433548</v>
      </c>
      <c r="L41" s="21">
        <v>0.1168831139802933</v>
      </c>
      <c r="M41" s="21">
        <v>0.59740257263183594</v>
      </c>
      <c r="N41" s="21">
        <v>0.20000000298023221</v>
      </c>
      <c r="O41" s="21">
        <v>0.20000000298023221</v>
      </c>
      <c r="P41" s="21">
        <v>0.26153847575187678</v>
      </c>
      <c r="Q41" s="21">
        <v>0.15384615957736969</v>
      </c>
      <c r="R41" s="21">
        <v>0.18461538851261139</v>
      </c>
      <c r="S41" s="21">
        <v>0.42500001192092901</v>
      </c>
      <c r="T41" s="21">
        <v>0.21250000596046451</v>
      </c>
      <c r="U41" s="21">
        <v>0.16249999403953549</v>
      </c>
      <c r="V41" s="21">
        <v>0.15000000596046451</v>
      </c>
      <c r="W41" s="21">
        <v>5.000000074505806E-2</v>
      </c>
      <c r="Z41" s="71"/>
      <c r="AA41" s="71"/>
      <c r="AB41" s="71"/>
      <c r="AC41" s="71"/>
    </row>
    <row r="42" spans="1:29" s="7" customFormat="1" x14ac:dyDescent="0.45">
      <c r="A42" s="7" t="s">
        <v>394</v>
      </c>
      <c r="B42" s="7" t="str">
        <f>VLOOKUP(C42,'Organisation names'!$B$4:$D$130,3,FALSE)</f>
        <v>South Yorkshire and Bassetlaw</v>
      </c>
      <c r="C42" s="7" t="s">
        <v>43</v>
      </c>
      <c r="D42" s="7" t="str">
        <f>VLOOKUP(C42,'Organisation names'!$B$4:$D$130,2,FALSE)</f>
        <v>The Rotherham NHS Foundation Trust</v>
      </c>
      <c r="E42" s="72">
        <v>68</v>
      </c>
      <c r="F42" s="21">
        <v>7.352941483259201E-2</v>
      </c>
      <c r="G42" s="21">
        <v>0.23529411852359769</v>
      </c>
      <c r="H42" s="21">
        <v>0.3382352888584137</v>
      </c>
      <c r="I42" s="21">
        <v>0.35294118523597717</v>
      </c>
      <c r="J42" s="21">
        <v>0.19354838132858279</v>
      </c>
      <c r="K42" s="21">
        <v>9.6774190664291382E-2</v>
      </c>
      <c r="L42" s="21">
        <v>6.4516127109527588E-2</v>
      </c>
      <c r="M42" s="21">
        <v>0.64516127109527588</v>
      </c>
      <c r="N42" s="21">
        <v>5.8823529630899429E-2</v>
      </c>
      <c r="O42" s="21">
        <v>0.17647059261798859</v>
      </c>
      <c r="P42" s="21">
        <v>0.17647059261798859</v>
      </c>
      <c r="Q42" s="21">
        <v>0.52941179275512695</v>
      </c>
      <c r="R42" s="21">
        <v>5.8823529630899429E-2</v>
      </c>
      <c r="S42" s="21">
        <v>0.25</v>
      </c>
      <c r="T42" s="21">
        <v>0.25</v>
      </c>
      <c r="U42" s="21">
        <v>0.1911764740943909</v>
      </c>
      <c r="V42" s="21">
        <v>0.20588235557079321</v>
      </c>
      <c r="W42" s="21">
        <v>0.1029411777853966</v>
      </c>
      <c r="Z42" s="71"/>
      <c r="AA42" s="71"/>
      <c r="AB42" s="71"/>
      <c r="AC42" s="71"/>
    </row>
    <row r="43" spans="1:29" s="7" customFormat="1" x14ac:dyDescent="0.45">
      <c r="A43" s="7" t="s">
        <v>394</v>
      </c>
      <c r="B43" s="7" t="str">
        <f>VLOOKUP(C43,'Organisation names'!$B$4:$D$130,3,FALSE)</f>
        <v>East Midlands</v>
      </c>
      <c r="C43" s="7" t="s">
        <v>44</v>
      </c>
      <c r="D43" s="7" t="str">
        <f>VLOOKUP(C43,'Organisation names'!$B$4:$D$130,2,FALSE)</f>
        <v>Chesterfield Royal Hospital NHS Foundation Trust</v>
      </c>
      <c r="E43" s="72">
        <v>94</v>
      </c>
      <c r="F43" s="21">
        <v>0.1276595741510391</v>
      </c>
      <c r="G43" s="21">
        <v>0.22340425848960879</v>
      </c>
      <c r="H43" s="21">
        <v>0.31914892792701721</v>
      </c>
      <c r="I43" s="21">
        <v>0.32978722453117371</v>
      </c>
      <c r="J43" s="21">
        <v>0.1428571492433548</v>
      </c>
      <c r="K43" s="21">
        <v>0.15384615957736969</v>
      </c>
      <c r="L43" s="21">
        <v>0.1428571492433548</v>
      </c>
      <c r="M43" s="21">
        <v>0.5604395866394043</v>
      </c>
      <c r="N43" s="21">
        <v>0.364705890417099</v>
      </c>
      <c r="O43" s="21">
        <v>0.21176470816135409</v>
      </c>
      <c r="P43" s="21">
        <v>0.18823529779911041</v>
      </c>
      <c r="Q43" s="21">
        <v>0.20000000298023221</v>
      </c>
      <c r="R43" s="21">
        <v>3.5294119268655777E-2</v>
      </c>
      <c r="S43" s="21">
        <v>0.15957446396350861</v>
      </c>
      <c r="T43" s="21">
        <v>0.26595744490623469</v>
      </c>
      <c r="U43" s="21">
        <v>0.15957446396350861</v>
      </c>
      <c r="V43" s="21">
        <v>0.2021276652812958</v>
      </c>
      <c r="W43" s="21">
        <v>0.2127659618854523</v>
      </c>
      <c r="Z43" s="71"/>
      <c r="AA43" s="71"/>
      <c r="AB43" s="71"/>
      <c r="AC43" s="71"/>
    </row>
    <row r="44" spans="1:29" s="7" customFormat="1" x14ac:dyDescent="0.45">
      <c r="A44" s="7" t="s">
        <v>394</v>
      </c>
      <c r="B44" s="7" t="str">
        <f>VLOOKUP(C44,'Organisation names'!$B$4:$D$130,3,FALSE)</f>
        <v>East of England</v>
      </c>
      <c r="C44" s="7" t="s">
        <v>45</v>
      </c>
      <c r="D44" s="7" t="str">
        <f>VLOOKUP(C44,'Organisation names'!$B$4:$D$130,2,FALSE)</f>
        <v>North West Anglia NHS Foundation Trust</v>
      </c>
      <c r="E44" s="72">
        <v>159</v>
      </c>
      <c r="F44" s="21">
        <v>0.12578617036342621</v>
      </c>
      <c r="G44" s="21">
        <v>0.19496855139732361</v>
      </c>
      <c r="H44" s="21">
        <v>0.35849055647850042</v>
      </c>
      <c r="I44" s="21">
        <v>0.32075470685958862</v>
      </c>
      <c r="J44" s="21">
        <v>8.2644626498222351E-2</v>
      </c>
      <c r="K44" s="21">
        <v>0.1157024800777435</v>
      </c>
      <c r="L44" s="21">
        <v>9.0909093618392944E-2</v>
      </c>
      <c r="M44" s="21">
        <v>0.71074378490447998</v>
      </c>
      <c r="N44" s="21">
        <v>0.31428572535514832</v>
      </c>
      <c r="O44" s="21">
        <v>0.40000000596046448</v>
      </c>
      <c r="P44" s="21">
        <v>0.18571428954601291</v>
      </c>
      <c r="Q44" s="21">
        <v>0.10000000149011611</v>
      </c>
      <c r="R44" s="21">
        <v>0</v>
      </c>
      <c r="S44" s="21">
        <v>8.1761009991168976E-2</v>
      </c>
      <c r="T44" s="21">
        <v>0.1069182381033897</v>
      </c>
      <c r="U44" s="21">
        <v>0.28930819034576422</v>
      </c>
      <c r="V44" s="21">
        <v>0.21383647620677951</v>
      </c>
      <c r="W44" s="21">
        <v>0.30817610025405878</v>
      </c>
      <c r="Z44" s="71"/>
      <c r="AA44" s="71"/>
      <c r="AB44" s="71"/>
      <c r="AC44" s="71"/>
    </row>
    <row r="45" spans="1:29" s="7" customFormat="1" x14ac:dyDescent="0.45">
      <c r="A45" s="7" t="s">
        <v>394</v>
      </c>
      <c r="B45" s="7" t="str">
        <f>VLOOKUP(C45,'Organisation names'!$B$4:$D$130,3,FALSE)</f>
        <v>East of England</v>
      </c>
      <c r="C45" s="7" t="s">
        <v>46</v>
      </c>
      <c r="D45" s="7" t="str">
        <f>VLOOKUP(C45,'Organisation names'!$B$4:$D$130,2,FALSE)</f>
        <v>James Paget University Hospitals NHS Foundation Trust</v>
      </c>
      <c r="E45" s="72">
        <v>80</v>
      </c>
      <c r="F45" s="21">
        <v>0.10000000149011611</v>
      </c>
      <c r="G45" s="21">
        <v>0.17499999701976779</v>
      </c>
      <c r="H45" s="21">
        <v>0.4375</v>
      </c>
      <c r="I45" s="21">
        <v>0.28749999403953552</v>
      </c>
      <c r="J45" s="21">
        <v>9.8591551184654236E-2</v>
      </c>
      <c r="K45" s="21">
        <v>0.12676055729389191</v>
      </c>
      <c r="L45" s="21">
        <v>0.25352111458778381</v>
      </c>
      <c r="M45" s="21">
        <v>0.52112674713134766</v>
      </c>
      <c r="N45" s="21">
        <v>0.46153846383094788</v>
      </c>
      <c r="O45" s="21">
        <v>0.26153847575187678</v>
      </c>
      <c r="P45" s="21">
        <v>0.15384615957736969</v>
      </c>
      <c r="Q45" s="21">
        <v>9.2307694256305695E-2</v>
      </c>
      <c r="R45" s="21">
        <v>3.0769230797886848E-2</v>
      </c>
      <c r="S45" s="21">
        <v>0.20000000298023221</v>
      </c>
      <c r="T45" s="21">
        <v>0.25</v>
      </c>
      <c r="U45" s="21">
        <v>0.3125</v>
      </c>
      <c r="V45" s="21">
        <v>0.16249999403953549</v>
      </c>
      <c r="W45" s="21">
        <v>7.5000002980232239E-2</v>
      </c>
      <c r="Z45" s="71"/>
      <c r="AA45" s="71"/>
      <c r="AB45" s="71"/>
      <c r="AC45" s="71"/>
    </row>
    <row r="46" spans="1:29" s="7" customFormat="1" x14ac:dyDescent="0.45">
      <c r="A46" s="7" t="s">
        <v>394</v>
      </c>
      <c r="B46" s="7" t="str">
        <f>VLOOKUP(C46,'Organisation names'!$B$4:$D$130,3,FALSE)</f>
        <v>East of England</v>
      </c>
      <c r="C46" s="7" t="s">
        <v>47</v>
      </c>
      <c r="D46" s="7" t="str">
        <f>VLOOKUP(C46,'Organisation names'!$B$4:$D$130,2,FALSE)</f>
        <v>West Suffolk NHS Foundation Trust</v>
      </c>
      <c r="E46" s="72">
        <v>80</v>
      </c>
      <c r="F46" s="21">
        <v>0.13750000298023221</v>
      </c>
      <c r="G46" s="21">
        <v>0.16249999403953549</v>
      </c>
      <c r="H46" s="21">
        <v>0.3125</v>
      </c>
      <c r="I46" s="21">
        <v>0.38749998807907099</v>
      </c>
      <c r="J46" s="21">
        <v>0.1159420311450958</v>
      </c>
      <c r="K46" s="21">
        <v>8.6956523358821869E-2</v>
      </c>
      <c r="L46" s="21">
        <v>0.15942029654979711</v>
      </c>
      <c r="M46" s="21">
        <v>0.63768118619918823</v>
      </c>
      <c r="N46" s="21">
        <v>0.37931033968925482</v>
      </c>
      <c r="O46" s="21">
        <v>0.24137930572032931</v>
      </c>
      <c r="P46" s="21">
        <v>0.22413793206214899</v>
      </c>
      <c r="Q46" s="21">
        <v>0.15517240762710571</v>
      </c>
      <c r="R46" s="21">
        <v>0</v>
      </c>
      <c r="S46" s="21">
        <v>1.250000018626451E-2</v>
      </c>
      <c r="T46" s="21">
        <v>0.22499999403953549</v>
      </c>
      <c r="U46" s="21">
        <v>0.38749998807907099</v>
      </c>
      <c r="V46" s="21">
        <v>0.22499999403953549</v>
      </c>
      <c r="W46" s="21">
        <v>0.15000000596046451</v>
      </c>
      <c r="Z46" s="71"/>
      <c r="AA46" s="71"/>
      <c r="AB46" s="71"/>
      <c r="AC46" s="71"/>
    </row>
    <row r="47" spans="1:29" s="7" customFormat="1" x14ac:dyDescent="0.45">
      <c r="A47" s="7" t="s">
        <v>394</v>
      </c>
      <c r="B47" s="7" t="str">
        <f>VLOOKUP(C47,'Organisation names'!$B$4:$D$130,3,FALSE)</f>
        <v>East of England</v>
      </c>
      <c r="C47" s="7" t="s">
        <v>48</v>
      </c>
      <c r="D47" s="7" t="str">
        <f>VLOOKUP(C47,'Organisation names'!$B$4:$D$130,2,FALSE)</f>
        <v>Cambridge University Hospitals NHS Foundation Trust</v>
      </c>
      <c r="E47" s="72">
        <v>193</v>
      </c>
      <c r="F47" s="21">
        <v>0.1761658042669296</v>
      </c>
      <c r="G47" s="21">
        <v>0.2383419722318649</v>
      </c>
      <c r="H47" s="21">
        <v>0.35233160853385931</v>
      </c>
      <c r="I47" s="21">
        <v>0.23316061496734619</v>
      </c>
      <c r="J47" s="21">
        <v>9.3023255467414856E-2</v>
      </c>
      <c r="K47" s="21">
        <v>0.14728681743144989</v>
      </c>
      <c r="L47" s="21">
        <v>0.22480620443820951</v>
      </c>
      <c r="M47" s="21">
        <v>0.53488373756408691</v>
      </c>
      <c r="N47" s="21">
        <v>0.58695650100708008</v>
      </c>
      <c r="O47" s="21">
        <v>0.34782609343528748</v>
      </c>
      <c r="P47" s="21">
        <v>6.5217390656471252E-2</v>
      </c>
      <c r="Q47" s="21">
        <v>0</v>
      </c>
      <c r="R47" s="21">
        <v>0</v>
      </c>
      <c r="S47" s="21">
        <v>1.5544041059911249E-2</v>
      </c>
      <c r="T47" s="21">
        <v>7.2538860142230988E-2</v>
      </c>
      <c r="U47" s="21">
        <v>0.2590673565864563</v>
      </c>
      <c r="V47" s="21">
        <v>0.33678755164146418</v>
      </c>
      <c r="W47" s="21">
        <v>0.31606218218803411</v>
      </c>
      <c r="Z47" s="71"/>
      <c r="AA47" s="71"/>
      <c r="AB47" s="71"/>
      <c r="AC47" s="71"/>
    </row>
    <row r="48" spans="1:29" s="7" customFormat="1" x14ac:dyDescent="0.45">
      <c r="A48" s="7" t="s">
        <v>394</v>
      </c>
      <c r="B48" s="7" t="str">
        <f>VLOOKUP(C48,'Organisation names'!$B$4:$D$130,3,FALSE)</f>
        <v>Somerset, Wiltshire, Avon and Gloucestershire</v>
      </c>
      <c r="C48" s="7" t="s">
        <v>49</v>
      </c>
      <c r="D48" s="7" t="str">
        <f>VLOOKUP(C48,'Organisation names'!$B$4:$D$130,2,FALSE)</f>
        <v>Somerset NHS Foundation Trust</v>
      </c>
      <c r="E48" s="72">
        <v>204</v>
      </c>
      <c r="F48" s="21">
        <v>0.11274509876966481</v>
      </c>
      <c r="G48" s="21">
        <v>0.17156863212585449</v>
      </c>
      <c r="H48" s="21">
        <v>0.43627449870109558</v>
      </c>
      <c r="I48" s="21">
        <v>0.27941176295280462</v>
      </c>
      <c r="J48" s="21">
        <v>0.1461988240480423</v>
      </c>
      <c r="K48" s="21">
        <v>5.2631579339504242E-2</v>
      </c>
      <c r="L48" s="21">
        <v>0.16959063708782199</v>
      </c>
      <c r="M48" s="21">
        <v>0.63157892227172852</v>
      </c>
      <c r="N48" s="21">
        <v>0.37068966031074518</v>
      </c>
      <c r="O48" s="21">
        <v>0.31034481525421143</v>
      </c>
      <c r="P48" s="21">
        <v>0.18103447556495669</v>
      </c>
      <c r="Q48" s="21">
        <v>0.10344827920198441</v>
      </c>
      <c r="R48" s="21">
        <v>3.4482758492231369E-2</v>
      </c>
      <c r="S48" s="21">
        <v>6.3725493848323822E-2</v>
      </c>
      <c r="T48" s="21">
        <v>0.20588235557079321</v>
      </c>
      <c r="U48" s="21">
        <v>0.35294118523597717</v>
      </c>
      <c r="V48" s="21">
        <v>0.2303921580314636</v>
      </c>
      <c r="W48" s="21">
        <v>0.14705882966518399</v>
      </c>
      <c r="Z48" s="71"/>
      <c r="AA48" s="71"/>
      <c r="AB48" s="71"/>
      <c r="AC48" s="71"/>
    </row>
    <row r="49" spans="1:29" s="7" customFormat="1" x14ac:dyDescent="0.45">
      <c r="A49" s="7" t="s">
        <v>394</v>
      </c>
      <c r="B49" s="7" t="str">
        <f>VLOOKUP(C49,'Organisation names'!$B$4:$D$130,3,FALSE)</f>
        <v>Peninsula</v>
      </c>
      <c r="C49" s="7" t="s">
        <v>50</v>
      </c>
      <c r="D49" s="7" t="str">
        <f>VLOOKUP(C49,'Organisation names'!$B$4:$D$130,2,FALSE)</f>
        <v>Royal Devon University Healthcare NHS Foundation Trust</v>
      </c>
      <c r="E49" s="72">
        <v>238</v>
      </c>
      <c r="F49" s="21">
        <v>0.1176470592617989</v>
      </c>
      <c r="G49" s="21">
        <v>0.18907563388347631</v>
      </c>
      <c r="H49" s="21">
        <v>0.34453782439231873</v>
      </c>
      <c r="I49" s="21">
        <v>0.34873950481414789</v>
      </c>
      <c r="J49" s="21">
        <v>0.17415730655193329</v>
      </c>
      <c r="K49" s="21">
        <v>5.0561796873807907E-2</v>
      </c>
      <c r="L49" s="21">
        <v>0.1067415699362755</v>
      </c>
      <c r="M49" s="21">
        <v>0.66853934526443481</v>
      </c>
      <c r="N49" s="21">
        <v>0.26262626051902771</v>
      </c>
      <c r="O49" s="21">
        <v>0.35353535413742071</v>
      </c>
      <c r="P49" s="21">
        <v>0.14141413569450381</v>
      </c>
      <c r="Q49" s="21">
        <v>0.19191919267177579</v>
      </c>
      <c r="R49" s="21">
        <v>5.0505049526691437E-2</v>
      </c>
      <c r="S49" s="21">
        <v>5.4621849209070213E-2</v>
      </c>
      <c r="T49" s="21">
        <v>0.20588235557079321</v>
      </c>
      <c r="U49" s="21">
        <v>0.33613446354866028</v>
      </c>
      <c r="V49" s="21">
        <v>0.25630253553390497</v>
      </c>
      <c r="W49" s="21">
        <v>0.14705882966518399</v>
      </c>
      <c r="Z49" s="71"/>
      <c r="AA49" s="71"/>
      <c r="AB49" s="71"/>
      <c r="AC49" s="71"/>
    </row>
    <row r="50" spans="1:29" s="7" customFormat="1" x14ac:dyDescent="0.45">
      <c r="A50" s="7" t="s">
        <v>394</v>
      </c>
      <c r="B50" s="7" t="str">
        <f>VLOOKUP(C50,'Organisation names'!$B$4:$D$130,3,FALSE)</f>
        <v>Wessex</v>
      </c>
      <c r="C50" s="7" t="s">
        <v>51</v>
      </c>
      <c r="D50" s="7" t="str">
        <f>VLOOKUP(C50,'Organisation names'!$B$4:$D$130,2,FALSE)</f>
        <v>University Hospital Southampton NHS Foundation Trust</v>
      </c>
      <c r="E50" s="72">
        <v>217</v>
      </c>
      <c r="F50" s="21">
        <v>0.1290322542190552</v>
      </c>
      <c r="G50" s="21">
        <v>0.2304147481918335</v>
      </c>
      <c r="H50" s="21">
        <v>0.37788018584251398</v>
      </c>
      <c r="I50" s="21">
        <v>0.26267281174659729</v>
      </c>
      <c r="J50" s="21">
        <v>0.18840579688549039</v>
      </c>
      <c r="K50" s="21">
        <v>0.1159420311450958</v>
      </c>
      <c r="L50" s="21">
        <v>0.20772947371006009</v>
      </c>
      <c r="M50" s="21">
        <v>0.48792269825935358</v>
      </c>
      <c r="N50" s="21">
        <v>0.3850267231464386</v>
      </c>
      <c r="O50" s="21">
        <v>0.36898395419120789</v>
      </c>
      <c r="P50" s="21">
        <v>0.18181818723678589</v>
      </c>
      <c r="Q50" s="21">
        <v>4.8128340393304818E-2</v>
      </c>
      <c r="R50" s="21">
        <v>1.6042780131101608E-2</v>
      </c>
      <c r="S50" s="21">
        <v>8.2949310541152954E-2</v>
      </c>
      <c r="T50" s="21">
        <v>0.1981566846370697</v>
      </c>
      <c r="U50" s="21">
        <v>0.22119815647602081</v>
      </c>
      <c r="V50" s="21">
        <v>0.25806450843811041</v>
      </c>
      <c r="W50" s="21">
        <v>0.23963133990764621</v>
      </c>
      <c r="Z50" s="71"/>
      <c r="AA50" s="71"/>
      <c r="AB50" s="71"/>
      <c r="AC50" s="71"/>
    </row>
    <row r="51" spans="1:29" s="7" customFormat="1" x14ac:dyDescent="0.45">
      <c r="A51" s="7" t="s">
        <v>394</v>
      </c>
      <c r="B51" s="7" t="str">
        <f>VLOOKUP(C51,'Organisation names'!$B$4:$D$130,3,FALSE)</f>
        <v>South Yorkshire and Bassetlaw</v>
      </c>
      <c r="C51" s="7" t="s">
        <v>52</v>
      </c>
      <c r="D51" s="7" t="str">
        <f>VLOOKUP(C51,'Organisation names'!$B$4:$D$130,2,FALSE)</f>
        <v>Sheffield Teaching Hospitals NHS Foundation Trust</v>
      </c>
      <c r="E51" s="72">
        <v>265</v>
      </c>
      <c r="F51" s="21">
        <v>0.1622641533613205</v>
      </c>
      <c r="G51" s="21">
        <v>0.20377358794212341</v>
      </c>
      <c r="H51" s="21">
        <v>0.35849055647850042</v>
      </c>
      <c r="I51" s="21">
        <v>0.27547168731689448</v>
      </c>
      <c r="J51" s="21">
        <v>0.1666666716337204</v>
      </c>
      <c r="K51" s="21">
        <v>0.10833333432674409</v>
      </c>
      <c r="L51" s="21">
        <v>0.14166666567325589</v>
      </c>
      <c r="M51" s="21">
        <v>0.58333331346511841</v>
      </c>
      <c r="N51" s="21">
        <v>0.4285714328289032</v>
      </c>
      <c r="O51" s="21">
        <v>0.3214285671710968</v>
      </c>
      <c r="P51" s="21">
        <v>0.1428571492433548</v>
      </c>
      <c r="Q51" s="21">
        <v>7.1428574621677399E-2</v>
      </c>
      <c r="R51" s="21">
        <v>3.5714287310838699E-2</v>
      </c>
      <c r="S51" s="21">
        <v>0.28301885724067688</v>
      </c>
      <c r="T51" s="21">
        <v>0.1471698135137558</v>
      </c>
      <c r="U51" s="21">
        <v>0.1471698135137558</v>
      </c>
      <c r="V51" s="21">
        <v>0.26792451739311218</v>
      </c>
      <c r="W51" s="21">
        <v>0.15471698343753809</v>
      </c>
      <c r="Z51" s="71"/>
      <c r="AA51" s="71"/>
      <c r="AB51" s="71"/>
      <c r="AC51" s="71"/>
    </row>
    <row r="52" spans="1:29" s="7" customFormat="1" x14ac:dyDescent="0.45">
      <c r="A52" s="7" t="s">
        <v>394</v>
      </c>
      <c r="B52" s="7" t="str">
        <f>VLOOKUP(C52,'Organisation names'!$B$4:$D$130,3,FALSE)</f>
        <v>Wessex</v>
      </c>
      <c r="C52" s="7" t="s">
        <v>53</v>
      </c>
      <c r="D52" s="7" t="str">
        <f>VLOOKUP(C52,'Organisation names'!$B$4:$D$130,2,FALSE)</f>
        <v>Portsmouth Hospitals University NHS Trust</v>
      </c>
      <c r="E52" s="72">
        <v>198</v>
      </c>
      <c r="F52" s="21">
        <v>0.1010100990533829</v>
      </c>
      <c r="G52" s="21">
        <v>0.21717171370983121</v>
      </c>
      <c r="H52" s="21">
        <v>0.31313130259513849</v>
      </c>
      <c r="I52" s="21">
        <v>0.36868685483932501</v>
      </c>
      <c r="J52" s="21">
        <v>0.15999999642372131</v>
      </c>
      <c r="K52" s="21">
        <v>0.14000000059604639</v>
      </c>
      <c r="L52" s="21">
        <v>0.10666666924953461</v>
      </c>
      <c r="M52" s="21">
        <v>0.59333330392837524</v>
      </c>
      <c r="N52" s="21">
        <v>0.48809522390365601</v>
      </c>
      <c r="O52" s="21">
        <v>0.190476194024086</v>
      </c>
      <c r="P52" s="21">
        <v>0.1190476194024086</v>
      </c>
      <c r="Q52" s="21">
        <v>0.1547619104385376</v>
      </c>
      <c r="R52" s="21">
        <v>4.76190485060215E-2</v>
      </c>
      <c r="S52" s="21">
        <v>8.0808080732822418E-2</v>
      </c>
      <c r="T52" s="21">
        <v>0.17171716690063479</v>
      </c>
      <c r="U52" s="21">
        <v>0.21717171370983121</v>
      </c>
      <c r="V52" s="21">
        <v>0.17171716690063479</v>
      </c>
      <c r="W52" s="21">
        <v>0.35858586430549622</v>
      </c>
      <c r="Z52" s="71"/>
      <c r="AA52" s="71"/>
      <c r="AB52" s="71"/>
      <c r="AC52" s="71"/>
    </row>
    <row r="53" spans="1:29" s="7" customFormat="1" x14ac:dyDescent="0.45">
      <c r="A53" s="7" t="s">
        <v>394</v>
      </c>
      <c r="B53" s="7" t="str">
        <f>VLOOKUP(C53,'Organisation names'!$B$4:$D$130,3,FALSE)</f>
        <v>Thames Valley</v>
      </c>
      <c r="C53" s="7" t="s">
        <v>54</v>
      </c>
      <c r="D53" s="7" t="str">
        <f>VLOOKUP(C53,'Organisation names'!$B$4:$D$130,2,FALSE)</f>
        <v>Royal Berkshire NHS Foundation Trust</v>
      </c>
      <c r="E53" s="72">
        <v>131</v>
      </c>
      <c r="F53" s="21">
        <v>9.9236644804477692E-2</v>
      </c>
      <c r="G53" s="21">
        <v>0.1450381726026535</v>
      </c>
      <c r="H53" s="21">
        <v>0.35114502906799322</v>
      </c>
      <c r="I53" s="21">
        <v>0.40458014607429499</v>
      </c>
      <c r="J53" s="21">
        <v>0.125</v>
      </c>
      <c r="K53" s="21">
        <v>6.7307695746421814E-2</v>
      </c>
      <c r="L53" s="21">
        <v>8.6538463830947876E-2</v>
      </c>
      <c r="M53" s="21">
        <v>0.7211538553237915</v>
      </c>
      <c r="N53" s="21">
        <v>0.22666667401790619</v>
      </c>
      <c r="O53" s="21">
        <v>0.34666666388511658</v>
      </c>
      <c r="P53" s="21">
        <v>0.15999999642372131</v>
      </c>
      <c r="Q53" s="21">
        <v>0.21333333849906921</v>
      </c>
      <c r="R53" s="21">
        <v>5.3333334624767303E-2</v>
      </c>
      <c r="S53" s="21">
        <v>3.8167938590049737E-2</v>
      </c>
      <c r="T53" s="21">
        <v>9.1603055596351624E-2</v>
      </c>
      <c r="U53" s="21">
        <v>8.3969466388225555E-2</v>
      </c>
      <c r="V53" s="21">
        <v>0.2137404531240463</v>
      </c>
      <c r="W53" s="21">
        <v>0.57251906394958496</v>
      </c>
      <c r="Z53" s="71"/>
      <c r="AA53" s="71"/>
      <c r="AB53" s="71"/>
      <c r="AC53" s="71"/>
    </row>
    <row r="54" spans="1:29" s="7" customFormat="1" x14ac:dyDescent="0.45">
      <c r="A54" s="7" t="s">
        <v>394</v>
      </c>
      <c r="B54" s="7" t="str">
        <f>VLOOKUP(C54,'Organisation names'!$B$4:$D$130,3,FALSE)</f>
        <v>South East London</v>
      </c>
      <c r="C54" s="7" t="s">
        <v>55</v>
      </c>
      <c r="D54" s="7" t="str">
        <f>VLOOKUP(C54,'Organisation names'!$B$4:$D$130,2,FALSE)</f>
        <v>Guy's and St Thomas' NHS Foundation Trust</v>
      </c>
      <c r="E54" s="72">
        <v>78</v>
      </c>
      <c r="F54" s="21">
        <v>0.24358974397182459</v>
      </c>
      <c r="G54" s="21">
        <v>0.29487180709838873</v>
      </c>
      <c r="H54" s="21">
        <v>0.28205129504203802</v>
      </c>
      <c r="I54" s="21">
        <v>0.17948718369007111</v>
      </c>
      <c r="J54" s="21">
        <v>2.7027027681469921E-2</v>
      </c>
      <c r="K54" s="21">
        <v>0.21621622145175931</v>
      </c>
      <c r="L54" s="21">
        <v>0.24324324727058411</v>
      </c>
      <c r="M54" s="21">
        <v>0.51351350545883179</v>
      </c>
      <c r="N54" s="21">
        <v>0.41379311680793762</v>
      </c>
      <c r="O54" s="21">
        <v>0.41379311680793762</v>
      </c>
      <c r="P54" s="21">
        <v>6.8965516984462738E-2</v>
      </c>
      <c r="Q54" s="21">
        <v>6.8965516984462738E-2</v>
      </c>
      <c r="R54" s="21">
        <v>3.4482758492231369E-2</v>
      </c>
      <c r="S54" s="21">
        <v>0.28205129504203802</v>
      </c>
      <c r="T54" s="21">
        <v>0.43589743971824652</v>
      </c>
      <c r="U54" s="21">
        <v>0.115384615957737</v>
      </c>
      <c r="V54" s="21">
        <v>6.4102567732334137E-2</v>
      </c>
      <c r="W54" s="21">
        <v>0.1025641039013863</v>
      </c>
      <c r="Z54" s="71"/>
      <c r="AA54" s="71"/>
      <c r="AB54" s="71"/>
      <c r="AC54" s="71"/>
    </row>
    <row r="55" spans="1:29" s="7" customFormat="1" x14ac:dyDescent="0.45">
      <c r="A55" s="7" t="s">
        <v>394</v>
      </c>
      <c r="B55" s="7" t="str">
        <f>VLOOKUP(C55,'Organisation names'!$B$4:$D$130,3,FALSE)</f>
        <v>South East London</v>
      </c>
      <c r="C55" s="7" t="s">
        <v>56</v>
      </c>
      <c r="D55" s="7" t="str">
        <f>VLOOKUP(C55,'Organisation names'!$B$4:$D$130,2,FALSE)</f>
        <v>Lewisham and Greenwich NHS Trust</v>
      </c>
      <c r="E55" s="72">
        <v>131</v>
      </c>
      <c r="F55" s="21">
        <v>0.1221374049782753</v>
      </c>
      <c r="G55" s="21">
        <v>0.2671755850315094</v>
      </c>
      <c r="H55" s="21">
        <v>0.39694657921791082</v>
      </c>
      <c r="I55" s="21">
        <v>0.2137404531240463</v>
      </c>
      <c r="J55" s="21">
        <v>3.3333335071802139E-2</v>
      </c>
      <c r="K55" s="21">
        <v>0.18888889253139499</v>
      </c>
      <c r="L55" s="21">
        <v>0.24444444477558139</v>
      </c>
      <c r="M55" s="21">
        <v>0.53333336114883423</v>
      </c>
      <c r="N55" s="21">
        <v>0.25</v>
      </c>
      <c r="O55" s="21">
        <v>0.45454546809196472</v>
      </c>
      <c r="P55" s="21">
        <v>0.18181818723678589</v>
      </c>
      <c r="Q55" s="21">
        <v>6.8181820213794708E-2</v>
      </c>
      <c r="R55" s="21">
        <v>4.5454546809196472E-2</v>
      </c>
      <c r="S55" s="21">
        <v>0.1450381726026535</v>
      </c>
      <c r="T55" s="21">
        <v>0.27480915188789368</v>
      </c>
      <c r="U55" s="21">
        <v>0.25190839171409612</v>
      </c>
      <c r="V55" s="21">
        <v>0.22137404978275299</v>
      </c>
      <c r="W55" s="21">
        <v>0.1068702265620232</v>
      </c>
      <c r="Z55" s="71"/>
      <c r="AA55" s="71"/>
      <c r="AB55" s="71"/>
      <c r="AC55" s="71"/>
    </row>
    <row r="56" spans="1:29" s="7" customFormat="1" x14ac:dyDescent="0.45">
      <c r="A56" s="7" t="s">
        <v>394</v>
      </c>
      <c r="B56" s="7" t="str">
        <f>VLOOKUP(C56,'Organisation names'!$B$4:$D$130,3,FALSE)</f>
        <v>RM Partners</v>
      </c>
      <c r="C56" s="7" t="s">
        <v>57</v>
      </c>
      <c r="D56" s="7" t="str">
        <f>VLOOKUP(C56,'Organisation names'!$B$4:$D$130,2,FALSE)</f>
        <v>Croydon Health Services NHS Trust</v>
      </c>
      <c r="E56" s="72">
        <v>53</v>
      </c>
      <c r="F56" s="21">
        <v>0.1320754736661911</v>
      </c>
      <c r="G56" s="21">
        <v>0.2641509473323822</v>
      </c>
      <c r="H56" s="21">
        <v>0.28301885724067688</v>
      </c>
      <c r="I56" s="21">
        <v>0.32075470685958862</v>
      </c>
      <c r="J56" s="21">
        <v>6.976744532585144E-2</v>
      </c>
      <c r="K56" s="21">
        <v>9.3023255467414856E-2</v>
      </c>
      <c r="L56" s="21">
        <v>0.2093023210763931</v>
      </c>
      <c r="M56" s="21">
        <v>0.62790697813034058</v>
      </c>
      <c r="N56" s="21">
        <v>0.27272728085517878</v>
      </c>
      <c r="O56" s="21">
        <v>0.3333333432674408</v>
      </c>
      <c r="P56" s="21">
        <v>0.27272728085517878</v>
      </c>
      <c r="Q56" s="21">
        <v>0.1212121248245239</v>
      </c>
      <c r="R56" s="21">
        <v>0</v>
      </c>
      <c r="S56" s="21">
        <v>0.20754717290401459</v>
      </c>
      <c r="T56" s="21">
        <v>0.20754717290401459</v>
      </c>
      <c r="U56" s="21">
        <v>0.16981132328510279</v>
      </c>
      <c r="V56" s="21">
        <v>0.2452830225229263</v>
      </c>
      <c r="W56" s="21">
        <v>0.16981132328510279</v>
      </c>
      <c r="Z56" s="71"/>
      <c r="AA56" s="71"/>
      <c r="AB56" s="71"/>
      <c r="AC56" s="71"/>
    </row>
    <row r="57" spans="1:29" s="7" customFormat="1" x14ac:dyDescent="0.45">
      <c r="A57" s="7" t="s">
        <v>394</v>
      </c>
      <c r="B57" s="7" t="str">
        <f>VLOOKUP(C57,'Organisation names'!$B$4:$D$130,3,FALSE)</f>
        <v>RM Partners</v>
      </c>
      <c r="C57" s="7" t="s">
        <v>58</v>
      </c>
      <c r="D57" s="7" t="str">
        <f>VLOOKUP(C57,'Organisation names'!$B$4:$D$130,2,FALSE)</f>
        <v>St George's University Hospitals NHS Foundation Trust</v>
      </c>
      <c r="E57" s="72">
        <v>81</v>
      </c>
      <c r="F57" s="21">
        <v>0.1234567910432816</v>
      </c>
      <c r="G57" s="21">
        <v>0.32098764181137079</v>
      </c>
      <c r="H57" s="21">
        <v>0.34567901492118841</v>
      </c>
      <c r="I57" s="21">
        <v>0.20987653732299799</v>
      </c>
      <c r="J57" s="21">
        <v>7.1428574621677399E-2</v>
      </c>
      <c r="K57" s="21">
        <v>0.2142857164144516</v>
      </c>
      <c r="L57" s="21">
        <v>0.1428571492433548</v>
      </c>
      <c r="M57" s="21">
        <v>0.57142859697341919</v>
      </c>
      <c r="N57" s="21">
        <v>0.52941179275512695</v>
      </c>
      <c r="O57" s="21">
        <v>0.4117647111415863</v>
      </c>
      <c r="P57" s="21">
        <v>5.8823529630899429E-2</v>
      </c>
      <c r="Q57" s="21">
        <v>0</v>
      </c>
      <c r="R57" s="21">
        <v>0</v>
      </c>
      <c r="S57" s="21">
        <v>2.4691358208656311E-2</v>
      </c>
      <c r="T57" s="21">
        <v>0.20987653732299799</v>
      </c>
      <c r="U57" s="21">
        <v>0.27160492539405823</v>
      </c>
      <c r="V57" s="21">
        <v>0.23456789553165441</v>
      </c>
      <c r="W57" s="21">
        <v>0.25925925374031072</v>
      </c>
      <c r="Z57" s="71"/>
      <c r="AA57" s="71"/>
      <c r="AB57" s="71"/>
      <c r="AC57" s="71"/>
    </row>
    <row r="58" spans="1:29" s="7" customFormat="1" x14ac:dyDescent="0.45">
      <c r="A58" s="7" t="s">
        <v>394</v>
      </c>
      <c r="B58" s="7" t="str">
        <f>VLOOKUP(C58,'Organisation names'!$B$4:$D$130,3,FALSE)</f>
        <v>West Midlands</v>
      </c>
      <c r="C58" s="7" t="s">
        <v>59</v>
      </c>
      <c r="D58" s="7" t="str">
        <f>VLOOKUP(C58,'Organisation names'!$B$4:$D$130,2,FALSE)</f>
        <v>South Warwickshire University NHS Foundation Trust</v>
      </c>
      <c r="E58" s="72">
        <v>65</v>
      </c>
      <c r="F58" s="21">
        <v>7.6923079788684845E-2</v>
      </c>
      <c r="G58" s="21">
        <v>0.16923077404499051</v>
      </c>
      <c r="H58" s="21">
        <v>0.38461539149284357</v>
      </c>
      <c r="I58" s="21">
        <v>0.36923077702522278</v>
      </c>
      <c r="J58" s="21">
        <v>8.510638028383255E-2</v>
      </c>
      <c r="K58" s="21">
        <v>6.3829787075519562E-2</v>
      </c>
      <c r="L58" s="21">
        <v>0.1702127605676651</v>
      </c>
      <c r="M58" s="21">
        <v>0.6808510422706604</v>
      </c>
      <c r="N58" s="21">
        <v>0.40000000596046448</v>
      </c>
      <c r="O58" s="21">
        <v>0.40000000596046448</v>
      </c>
      <c r="P58" s="21">
        <v>0.20000000298023221</v>
      </c>
      <c r="Q58" s="21">
        <v>0</v>
      </c>
      <c r="R58" s="21">
        <v>0</v>
      </c>
      <c r="S58" s="21">
        <v>0</v>
      </c>
      <c r="T58" s="21">
        <v>6.1538461595773697E-2</v>
      </c>
      <c r="U58" s="21">
        <v>0.23076923191547391</v>
      </c>
      <c r="V58" s="21">
        <v>0.38461539149284357</v>
      </c>
      <c r="W58" s="21">
        <v>0.32307693362236017</v>
      </c>
      <c r="Z58" s="71"/>
      <c r="AA58" s="71"/>
      <c r="AB58" s="71"/>
      <c r="AC58" s="71"/>
    </row>
    <row r="59" spans="1:29" s="7" customFormat="1" x14ac:dyDescent="0.45">
      <c r="A59" s="7" t="s">
        <v>394</v>
      </c>
      <c r="B59" s="7" t="str">
        <f>VLOOKUP(C59,'Organisation names'!$B$4:$D$130,3,FALSE)</f>
        <v>West Midlands</v>
      </c>
      <c r="C59" s="7" t="s">
        <v>60</v>
      </c>
      <c r="D59" s="7" t="str">
        <f>VLOOKUP(C59,'Organisation names'!$B$4:$D$130,2,FALSE)</f>
        <v>University Hospitals Of North Midlands NHS Trust</v>
      </c>
      <c r="E59" s="72">
        <v>256</v>
      </c>
      <c r="F59" s="21">
        <v>0.1328125</v>
      </c>
      <c r="G59" s="21">
        <v>0.25</v>
      </c>
      <c r="H59" s="21">
        <v>0.3359375</v>
      </c>
      <c r="I59" s="21">
        <v>0.28125</v>
      </c>
      <c r="J59" s="21">
        <v>0.13106796145439151</v>
      </c>
      <c r="K59" s="21">
        <v>0.1747572869062424</v>
      </c>
      <c r="L59" s="21">
        <v>0.19902913272380829</v>
      </c>
      <c r="M59" s="21">
        <v>0.49514561891555792</v>
      </c>
      <c r="N59" s="21">
        <v>0.42934781312942499</v>
      </c>
      <c r="O59" s="21">
        <v>0.28804346919059748</v>
      </c>
      <c r="P59" s="21">
        <v>0.17934782803058619</v>
      </c>
      <c r="Q59" s="21">
        <v>8.1521742045879364E-2</v>
      </c>
      <c r="R59" s="21">
        <v>2.1739130839705471E-2</v>
      </c>
      <c r="S59" s="21">
        <v>0.1796875</v>
      </c>
      <c r="T59" s="21">
        <v>0.234375</v>
      </c>
      <c r="U59" s="21">
        <v>0.16796875</v>
      </c>
      <c r="V59" s="21">
        <v>0.21875</v>
      </c>
      <c r="W59" s="21">
        <v>0.19921875</v>
      </c>
      <c r="Z59" s="71"/>
      <c r="AA59" s="71"/>
      <c r="AB59" s="71"/>
      <c r="AC59" s="71"/>
    </row>
    <row r="60" spans="1:29" s="7" customFormat="1" x14ac:dyDescent="0.45">
      <c r="A60" s="7" t="s">
        <v>394</v>
      </c>
      <c r="B60" s="7" t="str">
        <f>VLOOKUP(C60,'Organisation names'!$B$4:$D$130,3,FALSE)</f>
        <v>Humber and North Yorkshire</v>
      </c>
      <c r="C60" s="7" t="s">
        <v>61</v>
      </c>
      <c r="D60" s="7" t="str">
        <f>VLOOKUP(C60,'Organisation names'!$B$4:$D$130,2,FALSE)</f>
        <v>Northern Lincolnshire and Goole NHS Foundation Trust</v>
      </c>
      <c r="E60" s="72">
        <v>144</v>
      </c>
      <c r="F60" s="21">
        <v>7.63888880610466E-2</v>
      </c>
      <c r="G60" s="21">
        <v>0.28472220897674561</v>
      </c>
      <c r="H60" s="21">
        <v>0.3680555522441864</v>
      </c>
      <c r="I60" s="21">
        <v>0.2708333432674408</v>
      </c>
      <c r="J60" s="21">
        <v>0.16513761878013611</v>
      </c>
      <c r="K60" s="21">
        <v>0.1100917458534241</v>
      </c>
      <c r="L60" s="21">
        <v>0.1100917458534241</v>
      </c>
      <c r="M60" s="21">
        <v>0.61467891931533813</v>
      </c>
      <c r="N60" s="21">
        <v>0.30769231915473938</v>
      </c>
      <c r="O60" s="21">
        <v>0.41538462042808533</v>
      </c>
      <c r="P60" s="21">
        <v>0.16923077404499051</v>
      </c>
      <c r="Q60" s="21">
        <v>0.1076923087239265</v>
      </c>
      <c r="R60" s="21">
        <v>0</v>
      </c>
      <c r="S60" s="21">
        <v>0.2013888955116272</v>
      </c>
      <c r="T60" s="21">
        <v>0.1944444477558136</v>
      </c>
      <c r="U60" s="21">
        <v>0.2222222238779068</v>
      </c>
      <c r="V60" s="21">
        <v>0.2222222238779068</v>
      </c>
      <c r="W60" s="21">
        <v>0.1597222238779068</v>
      </c>
      <c r="Z60" s="71"/>
      <c r="AA60" s="71"/>
      <c r="AB60" s="71"/>
      <c r="AC60" s="71"/>
    </row>
    <row r="61" spans="1:29" s="7" customFormat="1" x14ac:dyDescent="0.45">
      <c r="A61" s="7" t="s">
        <v>394</v>
      </c>
      <c r="B61" s="7" t="str">
        <f>VLOOKUP(C61,'Organisation names'!$B$4:$D$130,3,FALSE)</f>
        <v>Cheshire and Merseyside</v>
      </c>
      <c r="C61" s="7" t="s">
        <v>62</v>
      </c>
      <c r="D61" s="7" t="str">
        <f>VLOOKUP(C61,'Organisation names'!$B$4:$D$130,2,FALSE)</f>
        <v>East Cheshire NHS Trust</v>
      </c>
      <c r="E61" s="72">
        <v>47</v>
      </c>
      <c r="F61" s="21">
        <v>0.10638298094272609</v>
      </c>
      <c r="G61" s="21">
        <v>6.3829787075519562E-2</v>
      </c>
      <c r="H61" s="21">
        <v>0.51063829660415649</v>
      </c>
      <c r="I61" s="21">
        <v>0.31914892792701721</v>
      </c>
      <c r="J61" s="21">
        <v>0.13513512909412381</v>
      </c>
      <c r="K61" s="21">
        <v>0.1081081107258797</v>
      </c>
      <c r="L61" s="21">
        <v>0.1891891956329346</v>
      </c>
      <c r="M61" s="21">
        <v>0.56756758689880371</v>
      </c>
      <c r="N61" s="21">
        <v>0.239999994635582</v>
      </c>
      <c r="O61" s="21">
        <v>0.51999998092651367</v>
      </c>
      <c r="P61" s="21">
        <v>0.15999999642372131</v>
      </c>
      <c r="Q61" s="21">
        <v>7.9999998211860657E-2</v>
      </c>
      <c r="R61" s="21">
        <v>0</v>
      </c>
      <c r="S61" s="21">
        <v>2.1276595070958141E-2</v>
      </c>
      <c r="T61" s="21">
        <v>0.2127659618854523</v>
      </c>
      <c r="U61" s="21">
        <v>0.10638298094272609</v>
      </c>
      <c r="V61" s="21">
        <v>0.23404255509376529</v>
      </c>
      <c r="W61" s="21">
        <v>0.42553192377090449</v>
      </c>
      <c r="Z61" s="71"/>
      <c r="AA61" s="71"/>
      <c r="AB61" s="71"/>
      <c r="AC61" s="71"/>
    </row>
    <row r="62" spans="1:29" s="7" customFormat="1" x14ac:dyDescent="0.45">
      <c r="A62" s="7" t="s">
        <v>394</v>
      </c>
      <c r="B62" s="7" t="str">
        <f>VLOOKUP(C62,'Organisation names'!$B$4:$D$130,3,FALSE)</f>
        <v>Cheshire and Merseyside</v>
      </c>
      <c r="C62" s="7" t="s">
        <v>63</v>
      </c>
      <c r="D62" s="7" t="str">
        <f>VLOOKUP(C62,'Organisation names'!$B$4:$D$130,2,FALSE)</f>
        <v>Countess Of Chester Hospital NHS Foundation Trust</v>
      </c>
      <c r="E62" s="72">
        <v>36</v>
      </c>
      <c r="F62" s="21">
        <v>0.1666666716337204</v>
      </c>
      <c r="G62" s="21">
        <v>0.1666666716337204</v>
      </c>
      <c r="H62" s="21">
        <v>0.3611111044883728</v>
      </c>
      <c r="I62" s="21">
        <v>0.3055555522441864</v>
      </c>
      <c r="J62" s="21">
        <v>0.1428571492433548</v>
      </c>
      <c r="K62" s="21">
        <v>4.76190485060215E-2</v>
      </c>
      <c r="L62" s="21">
        <v>0.1428571492433548</v>
      </c>
      <c r="M62" s="21">
        <v>0.66666668653488159</v>
      </c>
      <c r="N62" s="21">
        <v>0.56000000238418579</v>
      </c>
      <c r="O62" s="21">
        <v>0.20000000298023221</v>
      </c>
      <c r="P62" s="21">
        <v>0.20000000298023221</v>
      </c>
      <c r="Q62" s="21">
        <v>3.9999999105930328E-2</v>
      </c>
      <c r="R62" s="21">
        <v>0</v>
      </c>
      <c r="S62" s="21">
        <v>0.1944444477558136</v>
      </c>
      <c r="T62" s="21">
        <v>0.1944444477558136</v>
      </c>
      <c r="U62" s="21">
        <v>0.1388888955116272</v>
      </c>
      <c r="V62" s="21">
        <v>2.777777798473835E-2</v>
      </c>
      <c r="W62" s="21">
        <v>0.4444444477558136</v>
      </c>
      <c r="Z62" s="71"/>
      <c r="AA62" s="71"/>
      <c r="AB62" s="71"/>
      <c r="AC62" s="71"/>
    </row>
    <row r="63" spans="1:29" s="7" customFormat="1" x14ac:dyDescent="0.45">
      <c r="A63" s="7" t="s">
        <v>394</v>
      </c>
      <c r="B63" s="7" t="str">
        <f>VLOOKUP(C63,'Organisation names'!$B$4:$D$130,3,FALSE)</f>
        <v>South East London</v>
      </c>
      <c r="C63" s="7" t="s">
        <v>64</v>
      </c>
      <c r="D63" s="7" t="str">
        <f>VLOOKUP(C63,'Organisation names'!$B$4:$D$130,2,FALSE)</f>
        <v>King's College Hospital NHS Foundation Trust</v>
      </c>
      <c r="E63" s="72">
        <v>266</v>
      </c>
      <c r="F63" s="21">
        <v>0.20300751924514771</v>
      </c>
      <c r="G63" s="21">
        <v>0.24812030792236331</v>
      </c>
      <c r="H63" s="21">
        <v>0.37593984603881841</v>
      </c>
      <c r="I63" s="21">
        <v>0.17293232679367071</v>
      </c>
      <c r="J63" s="21">
        <v>0.13242009282112119</v>
      </c>
      <c r="K63" s="21">
        <v>0.26027396321296692</v>
      </c>
      <c r="L63" s="21">
        <v>0.1872146129608154</v>
      </c>
      <c r="M63" s="21">
        <v>0.42009133100509638</v>
      </c>
      <c r="N63" s="21">
        <v>0.48076921701431269</v>
      </c>
      <c r="O63" s="21">
        <v>0.30128204822540278</v>
      </c>
      <c r="P63" s="21">
        <v>0.14102564752101901</v>
      </c>
      <c r="Q63" s="21">
        <v>5.7692307978868478E-2</v>
      </c>
      <c r="R63" s="21">
        <v>1.9230769947171211E-2</v>
      </c>
      <c r="S63" s="21">
        <v>0.1428571492433548</v>
      </c>
      <c r="T63" s="21">
        <v>0.22556391358375549</v>
      </c>
      <c r="U63" s="21">
        <v>0.18421052396297449</v>
      </c>
      <c r="V63" s="21">
        <v>0.23308271169662481</v>
      </c>
      <c r="W63" s="21">
        <v>0.2142857164144516</v>
      </c>
      <c r="Z63" s="71"/>
      <c r="AA63" s="71"/>
      <c r="AB63" s="71"/>
      <c r="AC63" s="71"/>
    </row>
    <row r="64" spans="1:29" s="7" customFormat="1" x14ac:dyDescent="0.45">
      <c r="A64" s="7" t="s">
        <v>394</v>
      </c>
      <c r="B64" s="7" t="str">
        <f>VLOOKUP(C64,'Organisation names'!$B$4:$D$130,3,FALSE)</f>
        <v>East Midlands</v>
      </c>
      <c r="C64" s="7" t="s">
        <v>65</v>
      </c>
      <c r="D64" s="7" t="str">
        <f>VLOOKUP(C64,'Organisation names'!$B$4:$D$130,2,FALSE)</f>
        <v>Sherwood Forest Hospitals NHS Foundation Trust</v>
      </c>
      <c r="E64" s="72">
        <v>90</v>
      </c>
      <c r="F64" s="21">
        <v>8.8888891041278839E-2</v>
      </c>
      <c r="G64" s="21">
        <v>0.1666666716337204</v>
      </c>
      <c r="H64" s="21">
        <v>0.40000000596046448</v>
      </c>
      <c r="I64" s="21">
        <v>0.34444445371627808</v>
      </c>
      <c r="J64" s="21">
        <v>3.2258063554763787E-2</v>
      </c>
      <c r="K64" s="21">
        <v>0</v>
      </c>
      <c r="L64" s="21">
        <v>9.6774190664291382E-2</v>
      </c>
      <c r="M64" s="21">
        <v>0.87096774578094482</v>
      </c>
      <c r="N64" s="21">
        <v>0.38636362552642822</v>
      </c>
      <c r="O64" s="21">
        <v>0.29545453190803528</v>
      </c>
      <c r="P64" s="21">
        <v>0.27272728085517878</v>
      </c>
      <c r="Q64" s="21">
        <v>4.5454546809196472E-2</v>
      </c>
      <c r="R64" s="21">
        <v>0</v>
      </c>
      <c r="S64" s="21">
        <v>0.23333333432674411</v>
      </c>
      <c r="T64" s="21">
        <v>0.24444444477558139</v>
      </c>
      <c r="U64" s="21">
        <v>0.20000000298023221</v>
      </c>
      <c r="V64" s="21">
        <v>0.18888889253139499</v>
      </c>
      <c r="W64" s="21">
        <v>0.13333334028720861</v>
      </c>
      <c r="Z64" s="71"/>
      <c r="AA64" s="71"/>
      <c r="AB64" s="71"/>
      <c r="AC64" s="71"/>
    </row>
    <row r="65" spans="1:29" s="7" customFormat="1" x14ac:dyDescent="0.45">
      <c r="A65" s="7" t="s">
        <v>394</v>
      </c>
      <c r="B65" s="7" t="str">
        <f>VLOOKUP(C65,'Organisation names'!$B$4:$D$130,3,FALSE)</f>
        <v>Peninsula</v>
      </c>
      <c r="C65" s="7" t="s">
        <v>66</v>
      </c>
      <c r="D65" s="7" t="str">
        <f>VLOOKUP(C65,'Organisation names'!$B$4:$D$130,2,FALSE)</f>
        <v>University Hospitals Plymouth NHS Trust</v>
      </c>
      <c r="E65" s="72">
        <v>177</v>
      </c>
      <c r="F65" s="21">
        <v>0.1073446348309517</v>
      </c>
      <c r="G65" s="21">
        <v>0.19209039211273191</v>
      </c>
      <c r="H65" s="21">
        <v>0.38983049988746638</v>
      </c>
      <c r="I65" s="21">
        <v>0.31073445081710821</v>
      </c>
      <c r="J65" s="21">
        <v>0.14473684132099149</v>
      </c>
      <c r="K65" s="21">
        <v>0.15131579339504239</v>
      </c>
      <c r="L65" s="21">
        <v>0.125</v>
      </c>
      <c r="M65" s="21">
        <v>0.57894736528396606</v>
      </c>
      <c r="N65" s="21">
        <v>0.32773110270500178</v>
      </c>
      <c r="O65" s="21">
        <v>0.27731093764305109</v>
      </c>
      <c r="P65" s="21">
        <v>0.21848739683628079</v>
      </c>
      <c r="Q65" s="21">
        <v>0.1428571492433548</v>
      </c>
      <c r="R65" s="21">
        <v>3.3613447099924088E-2</v>
      </c>
      <c r="S65" s="21">
        <v>0.12994350492954251</v>
      </c>
      <c r="T65" s="21">
        <v>0.22598870098590851</v>
      </c>
      <c r="U65" s="21">
        <v>0.2881355881690979</v>
      </c>
      <c r="V65" s="21">
        <v>0.22033898532390589</v>
      </c>
      <c r="W65" s="21">
        <v>0.1355932205915451</v>
      </c>
      <c r="Z65" s="71"/>
      <c r="AA65" s="71"/>
      <c r="AB65" s="71"/>
      <c r="AC65" s="71"/>
    </row>
    <row r="66" spans="1:29" s="7" customFormat="1" x14ac:dyDescent="0.45">
      <c r="A66" s="7" t="s">
        <v>394</v>
      </c>
      <c r="B66" s="7" t="str">
        <f>VLOOKUP(C66,'Organisation names'!$B$4:$D$130,3,FALSE)</f>
        <v>West Midlands</v>
      </c>
      <c r="C66" s="7" t="s">
        <v>67</v>
      </c>
      <c r="D66" s="7" t="str">
        <f>VLOOKUP(C66,'Organisation names'!$B$4:$D$130,2,FALSE)</f>
        <v>University Hospitals Coventry and Warwickshire NHS Trust</v>
      </c>
      <c r="E66" s="72">
        <v>181</v>
      </c>
      <c r="F66" s="21">
        <v>0.2265193313360214</v>
      </c>
      <c r="G66" s="21">
        <v>0.2154696136713028</v>
      </c>
      <c r="H66" s="21">
        <v>0.33701658248901373</v>
      </c>
      <c r="I66" s="21">
        <v>0.22099447250366211</v>
      </c>
      <c r="J66" s="21">
        <v>0.1319444477558136</v>
      </c>
      <c r="K66" s="21">
        <v>0.1319444477558136</v>
      </c>
      <c r="L66" s="21">
        <v>0.1736111044883728</v>
      </c>
      <c r="M66" s="21">
        <v>0.5625</v>
      </c>
      <c r="N66" s="21">
        <v>0.4841269850730896</v>
      </c>
      <c r="O66" s="21">
        <v>0.30158731341362</v>
      </c>
      <c r="P66" s="21">
        <v>0.1190476194024086</v>
      </c>
      <c r="Q66" s="21">
        <v>8.7301589548587799E-2</v>
      </c>
      <c r="R66" s="21">
        <v>7.9365083947777748E-3</v>
      </c>
      <c r="S66" s="21">
        <v>0.1767955869436264</v>
      </c>
      <c r="T66" s="21">
        <v>0.187845304608345</v>
      </c>
      <c r="U66" s="21">
        <v>0.19889502227306369</v>
      </c>
      <c r="V66" s="21">
        <v>0.2320442050695419</v>
      </c>
      <c r="W66" s="21">
        <v>0.2044198960065842</v>
      </c>
      <c r="Z66" s="71"/>
      <c r="AA66" s="71"/>
      <c r="AB66" s="71"/>
      <c r="AC66" s="71"/>
    </row>
    <row r="67" spans="1:29" s="7" customFormat="1" x14ac:dyDescent="0.45">
      <c r="A67" s="7" t="s">
        <v>394</v>
      </c>
      <c r="B67" s="7" t="str">
        <f>VLOOKUP(C67,'Organisation names'!$B$4:$D$130,3,FALSE)</f>
        <v>North Central London</v>
      </c>
      <c r="C67" s="7" t="s">
        <v>68</v>
      </c>
      <c r="D67" s="7" t="str">
        <f>VLOOKUP(C67,'Organisation names'!$B$4:$D$130,2,FALSE)</f>
        <v>Whittington Health NHS Trust</v>
      </c>
      <c r="E67" s="72">
        <v>38</v>
      </c>
      <c r="F67" s="21">
        <v>0.1315789520740509</v>
      </c>
      <c r="G67" s="21">
        <v>0.28947368264198298</v>
      </c>
      <c r="H67" s="21">
        <v>0.28947368264198298</v>
      </c>
      <c r="I67" s="21">
        <v>0.28947368264198298</v>
      </c>
      <c r="J67" s="21">
        <v>7.1428574621677399E-2</v>
      </c>
      <c r="K67" s="21">
        <v>0</v>
      </c>
      <c r="L67" s="21">
        <v>7.1428574621677399E-2</v>
      </c>
      <c r="M67" s="21">
        <v>0.8571428656578064</v>
      </c>
      <c r="N67" s="21">
        <v>0.27777779102325439</v>
      </c>
      <c r="O67" s="21">
        <v>0.27777779102325439</v>
      </c>
      <c r="P67" s="21">
        <v>0.2222222238779068</v>
      </c>
      <c r="Q67" s="21">
        <v>0.1111111119389534</v>
      </c>
      <c r="R67" s="21">
        <v>0.1111111119389534</v>
      </c>
      <c r="S67" s="21">
        <v>0.28947368264198298</v>
      </c>
      <c r="T67" s="21">
        <v>0.31578946113586431</v>
      </c>
      <c r="U67" s="21">
        <v>0.1052631586790085</v>
      </c>
      <c r="V67" s="21">
        <v>0.18421052396297449</v>
      </c>
      <c r="W67" s="21">
        <v>0.1052631586790085</v>
      </c>
      <c r="Z67" s="71"/>
      <c r="AA67" s="71"/>
      <c r="AB67" s="71"/>
      <c r="AC67" s="71"/>
    </row>
    <row r="68" spans="1:29" s="7" customFormat="1" x14ac:dyDescent="0.45">
      <c r="A68" s="7" t="s">
        <v>394</v>
      </c>
      <c r="B68" s="7" t="str">
        <f>VLOOKUP(C68,'Organisation names'!$B$4:$D$130,3,FALSE)</f>
        <v>West Midlands</v>
      </c>
      <c r="C68" s="7" t="s">
        <v>69</v>
      </c>
      <c r="D68" s="7" t="str">
        <f>VLOOKUP(C68,'Organisation names'!$B$4:$D$130,2,FALSE)</f>
        <v>The Royal Wolverhampton NHS Trust</v>
      </c>
      <c r="E68" s="72">
        <v>118</v>
      </c>
      <c r="F68" s="21">
        <v>9.3220338225364685E-2</v>
      </c>
      <c r="G68" s="21">
        <v>0.25423729419708252</v>
      </c>
      <c r="H68" s="21">
        <v>0.40677964687347412</v>
      </c>
      <c r="I68" s="21">
        <v>0.24576270580291751</v>
      </c>
      <c r="J68" s="21">
        <v>3.0303031206130981E-2</v>
      </c>
      <c r="K68" s="21">
        <v>0.2121212184429169</v>
      </c>
      <c r="L68" s="21">
        <v>0.1212121248245239</v>
      </c>
      <c r="M68" s="21">
        <v>0.63636362552642822</v>
      </c>
      <c r="N68" s="21">
        <v>0.2452830225229263</v>
      </c>
      <c r="O68" s="21">
        <v>0.30188679695129389</v>
      </c>
      <c r="P68" s="21">
        <v>0.2452830225229263</v>
      </c>
      <c r="Q68" s="21">
        <v>0.18867924809455869</v>
      </c>
      <c r="R68" s="21">
        <v>1.8867924809455872E-2</v>
      </c>
      <c r="S68" s="21">
        <v>0.26271185278892523</v>
      </c>
      <c r="T68" s="21">
        <v>0.22881355881690979</v>
      </c>
      <c r="U68" s="21">
        <v>0.1864406764507294</v>
      </c>
      <c r="V68" s="21">
        <v>0.14406779408454901</v>
      </c>
      <c r="W68" s="21">
        <v>0.1779661029577255</v>
      </c>
      <c r="Z68" s="71"/>
      <c r="AA68" s="71"/>
      <c r="AB68" s="71"/>
      <c r="AC68" s="71"/>
    </row>
    <row r="69" spans="1:29" s="7" customFormat="1" x14ac:dyDescent="0.45">
      <c r="A69" s="7" t="s">
        <v>394</v>
      </c>
      <c r="B69" s="7" t="str">
        <f>VLOOKUP(C69,'Organisation names'!$B$4:$D$130,3,FALSE)</f>
        <v>West Midlands</v>
      </c>
      <c r="C69" s="7" t="s">
        <v>70</v>
      </c>
      <c r="D69" s="7" t="str">
        <f>VLOOKUP(C69,'Organisation names'!$B$4:$D$130,2,FALSE)</f>
        <v>Wye Valley NHS Trust</v>
      </c>
      <c r="E69" s="72">
        <v>66</v>
      </c>
      <c r="F69" s="21">
        <v>6.0606062412261963E-2</v>
      </c>
      <c r="G69" s="21">
        <v>0.25757575035095209</v>
      </c>
      <c r="H69" s="21">
        <v>0.2121212184429169</v>
      </c>
      <c r="I69" s="21">
        <v>0.46969696879386902</v>
      </c>
      <c r="J69" s="21">
        <v>0</v>
      </c>
      <c r="K69" s="21">
        <v>0.1666666716337204</v>
      </c>
      <c r="L69" s="21">
        <v>8.3333335816860199E-2</v>
      </c>
      <c r="M69" s="21">
        <v>0.75</v>
      </c>
      <c r="N69" s="21">
        <v>0.45714285969734192</v>
      </c>
      <c r="O69" s="21">
        <v>0.25714287161827087</v>
      </c>
      <c r="P69" s="21">
        <v>0.11428571492433549</v>
      </c>
      <c r="Q69" s="21">
        <v>0.17142857611179349</v>
      </c>
      <c r="R69" s="21">
        <v>0</v>
      </c>
      <c r="S69" s="21">
        <v>9.0909093618392944E-2</v>
      </c>
      <c r="T69" s="21">
        <v>0.1212121248245239</v>
      </c>
      <c r="U69" s="21">
        <v>0.39393940567970281</v>
      </c>
      <c r="V69" s="21">
        <v>0.34848484396934509</v>
      </c>
      <c r="W69" s="21">
        <v>4.5454546809196472E-2</v>
      </c>
      <c r="Z69" s="71"/>
      <c r="AA69" s="71"/>
      <c r="AB69" s="71"/>
      <c r="AC69" s="71"/>
    </row>
    <row r="70" spans="1:29" s="7" customFormat="1" x14ac:dyDescent="0.45">
      <c r="A70" s="7" t="s">
        <v>394</v>
      </c>
      <c r="B70" s="7" t="str">
        <f>VLOOKUP(C70,'Organisation names'!$B$4:$D$130,3,FALSE)</f>
        <v>West Midlands</v>
      </c>
      <c r="C70" s="7" t="s">
        <v>71</v>
      </c>
      <c r="D70" s="7" t="str">
        <f>VLOOKUP(C70,'Organisation names'!$B$4:$D$130,2,FALSE)</f>
        <v>George Eliot Hospital NHS Trust</v>
      </c>
      <c r="E70" s="72">
        <v>48</v>
      </c>
      <c r="F70" s="21">
        <v>2.083333395421505E-2</v>
      </c>
      <c r="G70" s="21">
        <v>0.1875</v>
      </c>
      <c r="H70" s="21">
        <v>0.3958333432674408</v>
      </c>
      <c r="I70" s="21">
        <v>0.3958333432674408</v>
      </c>
      <c r="J70" s="21">
        <v>0.1428571492433548</v>
      </c>
      <c r="K70" s="21">
        <v>2.857142873108387E-2</v>
      </c>
      <c r="L70" s="21">
        <v>2.857142873108387E-2</v>
      </c>
      <c r="M70" s="21">
        <v>0.80000001192092896</v>
      </c>
      <c r="N70" s="21">
        <v>0.32432430982589722</v>
      </c>
      <c r="O70" s="21">
        <v>0.37837839126586909</v>
      </c>
      <c r="P70" s="21">
        <v>0.1081081107258797</v>
      </c>
      <c r="Q70" s="21">
        <v>0.16216215491294861</v>
      </c>
      <c r="R70" s="21">
        <v>2.7027027681469921E-2</v>
      </c>
      <c r="S70" s="21">
        <v>0.1041666641831398</v>
      </c>
      <c r="T70" s="21">
        <v>0.2916666567325592</v>
      </c>
      <c r="U70" s="21">
        <v>0.1458333283662796</v>
      </c>
      <c r="V70" s="21">
        <v>0.3541666567325592</v>
      </c>
      <c r="W70" s="21">
        <v>0.1041666641831398</v>
      </c>
      <c r="Z70" s="71"/>
      <c r="AA70" s="71"/>
      <c r="AB70" s="71"/>
      <c r="AC70" s="71"/>
    </row>
    <row r="71" spans="1:29" s="7" customFormat="1" x14ac:dyDescent="0.45">
      <c r="A71" s="7" t="s">
        <v>394</v>
      </c>
      <c r="B71" s="7" t="str">
        <f>VLOOKUP(C71,'Organisation names'!$B$4:$D$130,3,FALSE)</f>
        <v>East of England</v>
      </c>
      <c r="C71" s="7" t="s">
        <v>72</v>
      </c>
      <c r="D71" s="7" t="str">
        <f>VLOOKUP(C71,'Organisation names'!$B$4:$D$130,2,FALSE)</f>
        <v>Norfolk and Norwich University Hospitals NHS Foundation Trust</v>
      </c>
      <c r="E71" s="72">
        <v>271</v>
      </c>
      <c r="F71" s="21">
        <v>0.14760147035121921</v>
      </c>
      <c r="G71" s="21">
        <v>0.25461253523826599</v>
      </c>
      <c r="H71" s="21">
        <v>0.30996310710906982</v>
      </c>
      <c r="I71" s="21">
        <v>0.28782287240028381</v>
      </c>
      <c r="J71" s="21">
        <v>0.1148325353860855</v>
      </c>
      <c r="K71" s="21">
        <v>9.5693781971931458E-2</v>
      </c>
      <c r="L71" s="21">
        <v>0.1578947305679321</v>
      </c>
      <c r="M71" s="21">
        <v>0.63157892227172852</v>
      </c>
      <c r="N71" s="21">
        <v>0.60283690690994263</v>
      </c>
      <c r="O71" s="21">
        <v>0.1631205677986145</v>
      </c>
      <c r="P71" s="21">
        <v>8.510638028383255E-2</v>
      </c>
      <c r="Q71" s="21">
        <v>0.10638298094272609</v>
      </c>
      <c r="R71" s="21">
        <v>4.2553190141916282E-2</v>
      </c>
      <c r="S71" s="21">
        <v>8.4870845079421997E-2</v>
      </c>
      <c r="T71" s="21">
        <v>0.14760147035121921</v>
      </c>
      <c r="U71" s="21">
        <v>0.35055351257324219</v>
      </c>
      <c r="V71" s="21">
        <v>0.25461253523826599</v>
      </c>
      <c r="W71" s="21">
        <v>0.16236162185668951</v>
      </c>
      <c r="Z71" s="71"/>
      <c r="AA71" s="71"/>
      <c r="AB71" s="71"/>
      <c r="AC71" s="71"/>
    </row>
    <row r="72" spans="1:29" s="7" customFormat="1" x14ac:dyDescent="0.45">
      <c r="A72" s="7" t="s">
        <v>394</v>
      </c>
      <c r="B72" s="7" t="str">
        <f>VLOOKUP(C72,'Organisation names'!$B$4:$D$130,3,FALSE)</f>
        <v>Greater Manchester</v>
      </c>
      <c r="C72" s="7" t="s">
        <v>73</v>
      </c>
      <c r="D72" s="7" t="str">
        <f>VLOOKUP(C72,'Organisation names'!$B$4:$D$130,2,FALSE)</f>
        <v>Northern Care Alliance NHS Foundation Trust</v>
      </c>
      <c r="E72" s="72">
        <v>249</v>
      </c>
      <c r="F72" s="21">
        <v>8.8353410363197327E-2</v>
      </c>
      <c r="G72" s="21">
        <v>0.22891566157341001</v>
      </c>
      <c r="H72" s="21">
        <v>0.37751004099845892</v>
      </c>
      <c r="I72" s="21">
        <v>0.30522087216377258</v>
      </c>
      <c r="J72" s="21">
        <v>0.1214953288435936</v>
      </c>
      <c r="K72" s="21">
        <v>8.8785044848918915E-2</v>
      </c>
      <c r="L72" s="21">
        <v>0.1121495291590691</v>
      </c>
      <c r="M72" s="21">
        <v>0.67757010459899902</v>
      </c>
      <c r="N72" s="21">
        <v>0.1666666716337204</v>
      </c>
      <c r="O72" s="21">
        <v>0.44086021184921259</v>
      </c>
      <c r="P72" s="21">
        <v>0.23655913770198819</v>
      </c>
      <c r="Q72" s="21">
        <v>0.1344086080789566</v>
      </c>
      <c r="R72" s="21">
        <v>2.1505376324057579E-2</v>
      </c>
      <c r="S72" s="21">
        <v>0.34136545658111572</v>
      </c>
      <c r="T72" s="21">
        <v>0.21686747670173651</v>
      </c>
      <c r="U72" s="21">
        <v>0.1445783078670502</v>
      </c>
      <c r="V72" s="21">
        <v>0.1847389489412308</v>
      </c>
      <c r="W72" s="21">
        <v>0.1124498024582863</v>
      </c>
      <c r="Z72" s="71"/>
      <c r="AA72" s="71"/>
      <c r="AB72" s="71"/>
      <c r="AC72" s="71"/>
    </row>
    <row r="73" spans="1:29" s="7" customFormat="1" x14ac:dyDescent="0.45">
      <c r="A73" s="7" t="s">
        <v>394</v>
      </c>
      <c r="B73" s="7" t="str">
        <f>VLOOKUP(C73,'Organisation names'!$B$4:$D$130,3,FALSE)</f>
        <v>Greater Manchester</v>
      </c>
      <c r="C73" s="7" t="s">
        <v>74</v>
      </c>
      <c r="D73" s="7" t="str">
        <f>VLOOKUP(C73,'Organisation names'!$B$4:$D$130,2,FALSE)</f>
        <v>Bolton NHS Foundation Trust</v>
      </c>
      <c r="E73" s="72">
        <v>74</v>
      </c>
      <c r="F73" s="21">
        <v>0.16216215491294861</v>
      </c>
      <c r="G73" s="21">
        <v>9.4594597816467285E-2</v>
      </c>
      <c r="H73" s="21">
        <v>0.47297295928001398</v>
      </c>
      <c r="I73" s="21">
        <v>0.27027025818824768</v>
      </c>
      <c r="J73" s="21">
        <v>9.2307694256305695E-2</v>
      </c>
      <c r="K73" s="21">
        <v>9.2307694256305695E-2</v>
      </c>
      <c r="L73" s="21">
        <v>0.12307692319154739</v>
      </c>
      <c r="M73" s="21">
        <v>0.69230771064758301</v>
      </c>
      <c r="N73" s="21">
        <v>0.17647059261798859</v>
      </c>
      <c r="O73" s="21">
        <v>0.39215686917304993</v>
      </c>
      <c r="P73" s="21">
        <v>0.17647059261798859</v>
      </c>
      <c r="Q73" s="21">
        <v>0.17647059261798859</v>
      </c>
      <c r="R73" s="21">
        <v>7.8431375324726105E-2</v>
      </c>
      <c r="S73" s="21">
        <v>0.35135135054588318</v>
      </c>
      <c r="T73" s="21">
        <v>0.2297297269105911</v>
      </c>
      <c r="U73" s="21">
        <v>8.1081077456474304E-2</v>
      </c>
      <c r="V73" s="21">
        <v>0.1891891956329346</v>
      </c>
      <c r="W73" s="21">
        <v>0.14864864945411679</v>
      </c>
      <c r="Z73" s="71"/>
      <c r="AA73" s="71"/>
      <c r="AB73" s="71"/>
      <c r="AC73" s="71"/>
    </row>
    <row r="74" spans="1:29" s="7" customFormat="1" x14ac:dyDescent="0.45">
      <c r="A74" s="7" t="s">
        <v>394</v>
      </c>
      <c r="B74" s="7" t="str">
        <f>VLOOKUP(C74,'Organisation names'!$B$4:$D$130,3,FALSE)</f>
        <v>Greater Manchester</v>
      </c>
      <c r="C74" s="7" t="s">
        <v>75</v>
      </c>
      <c r="D74" s="7" t="str">
        <f>VLOOKUP(C74,'Organisation names'!$B$4:$D$130,2,FALSE)</f>
        <v>Tameside and Glossop Integrated Care NHS Foundation Trust</v>
      </c>
      <c r="E74" s="72">
        <v>56</v>
      </c>
      <c r="F74" s="21">
        <v>0.1428571492433548</v>
      </c>
      <c r="G74" s="21">
        <v>0.3214285671710968</v>
      </c>
      <c r="H74" s="21">
        <v>0.2321428507566452</v>
      </c>
      <c r="I74" s="21">
        <v>0.3035714328289032</v>
      </c>
      <c r="J74" s="21">
        <v>0.1025641039013863</v>
      </c>
      <c r="K74" s="21">
        <v>5.128205195069313E-2</v>
      </c>
      <c r="L74" s="21">
        <v>0.17948718369007111</v>
      </c>
      <c r="M74" s="21">
        <v>0.66666668653488159</v>
      </c>
      <c r="N74" s="21">
        <v>0.20000000298023221</v>
      </c>
      <c r="O74" s="21">
        <v>0.30000001192092901</v>
      </c>
      <c r="P74" s="21">
        <v>0.27500000596046448</v>
      </c>
      <c r="Q74" s="21">
        <v>0.15000000596046451</v>
      </c>
      <c r="R74" s="21">
        <v>7.5000002980232239E-2</v>
      </c>
      <c r="S74" s="21">
        <v>0.3214285671710968</v>
      </c>
      <c r="T74" s="21">
        <v>0.28571429848670959</v>
      </c>
      <c r="U74" s="21">
        <v>0.1964285671710968</v>
      </c>
      <c r="V74" s="21">
        <v>0.125</v>
      </c>
      <c r="W74" s="21">
        <v>7.1428574621677399E-2</v>
      </c>
      <c r="Z74" s="71"/>
      <c r="AA74" s="71"/>
      <c r="AB74" s="71"/>
      <c r="AC74" s="71"/>
    </row>
    <row r="75" spans="1:29" s="7" customFormat="1" x14ac:dyDescent="0.45">
      <c r="A75" s="7" t="s">
        <v>394</v>
      </c>
      <c r="B75" s="7" t="str">
        <f>VLOOKUP(C75,'Organisation names'!$B$4:$D$130,3,FALSE)</f>
        <v>Thames Valley</v>
      </c>
      <c r="C75" s="7" t="s">
        <v>76</v>
      </c>
      <c r="D75" s="7" t="str">
        <f>VLOOKUP(C75,'Organisation names'!$B$4:$D$130,2,FALSE)</f>
        <v>Great Western Hospitals NHS Foundation Trust</v>
      </c>
      <c r="E75" s="72">
        <v>111</v>
      </c>
      <c r="F75" s="21">
        <v>5.4054055362939828E-2</v>
      </c>
      <c r="G75" s="21">
        <v>0.24324324727058411</v>
      </c>
      <c r="H75" s="21">
        <v>0.37837839126586909</v>
      </c>
      <c r="I75" s="21">
        <v>0.32432430982589722</v>
      </c>
      <c r="J75" s="21">
        <v>0.1276595741510391</v>
      </c>
      <c r="K75" s="21">
        <v>7.4468083679676056E-2</v>
      </c>
      <c r="L75" s="21">
        <v>0.22340425848960879</v>
      </c>
      <c r="M75" s="21">
        <v>0.57446807622909546</v>
      </c>
      <c r="N75" s="21">
        <v>0.53521126508712769</v>
      </c>
      <c r="O75" s="21">
        <v>0.16901408135890961</v>
      </c>
      <c r="P75" s="21">
        <v>0.16901408135890961</v>
      </c>
      <c r="Q75" s="21">
        <v>0.1126760542392731</v>
      </c>
      <c r="R75" s="21">
        <v>1.408450677990913E-2</v>
      </c>
      <c r="S75" s="21">
        <v>6.3063062727451324E-2</v>
      </c>
      <c r="T75" s="21">
        <v>0.13513512909412381</v>
      </c>
      <c r="U75" s="21">
        <v>0.15315315127372739</v>
      </c>
      <c r="V75" s="21">
        <v>0.4234234094619751</v>
      </c>
      <c r="W75" s="21">
        <v>0.2252252250909805</v>
      </c>
      <c r="Z75" s="71"/>
      <c r="AA75" s="71"/>
      <c r="AB75" s="71"/>
      <c r="AC75" s="71"/>
    </row>
    <row r="76" spans="1:29" s="7" customFormat="1" x14ac:dyDescent="0.45">
      <c r="A76" s="7" t="s">
        <v>394</v>
      </c>
      <c r="B76" s="7" t="str">
        <f>VLOOKUP(C76,'Organisation names'!$B$4:$D$130,3,FALSE)</f>
        <v>Wessex</v>
      </c>
      <c r="C76" s="7" t="s">
        <v>77</v>
      </c>
      <c r="D76" s="7" t="str">
        <f>VLOOKUP(C76,'Organisation names'!$B$4:$D$130,2,FALSE)</f>
        <v>Hampshire Hospitals NHS Foundation Trust</v>
      </c>
      <c r="E76" s="72">
        <v>137</v>
      </c>
      <c r="F76" s="21">
        <v>8.0291971564292908E-2</v>
      </c>
      <c r="G76" s="21">
        <v>0.25547444820404053</v>
      </c>
      <c r="H76" s="21">
        <v>0.31386861205101008</v>
      </c>
      <c r="I76" s="21">
        <v>0.35036495327949518</v>
      </c>
      <c r="J76" s="21">
        <v>0.1473684161901474</v>
      </c>
      <c r="K76" s="21">
        <v>9.4736844301223755E-2</v>
      </c>
      <c r="L76" s="21">
        <v>0.16842105984687811</v>
      </c>
      <c r="M76" s="21">
        <v>0.5894736647605896</v>
      </c>
      <c r="N76" s="21">
        <v>0.37254902720451349</v>
      </c>
      <c r="O76" s="21">
        <v>0.31372550129890442</v>
      </c>
      <c r="P76" s="21">
        <v>0.1176470592617989</v>
      </c>
      <c r="Q76" s="21">
        <v>0.1078431382775307</v>
      </c>
      <c r="R76" s="21">
        <v>8.8235296308994293E-2</v>
      </c>
      <c r="S76" s="21">
        <v>1.459854003041983E-2</v>
      </c>
      <c r="T76" s="21">
        <v>6.5693430602550507E-2</v>
      </c>
      <c r="U76" s="21">
        <v>7.2992697358131409E-2</v>
      </c>
      <c r="V76" s="21">
        <v>0.30656933784484858</v>
      </c>
      <c r="W76" s="21">
        <v>0.54014599323272705</v>
      </c>
      <c r="Z76" s="71"/>
      <c r="AA76" s="71"/>
      <c r="AB76" s="71"/>
      <c r="AC76" s="71"/>
    </row>
    <row r="77" spans="1:29" s="7" customFormat="1" x14ac:dyDescent="0.45">
      <c r="A77" s="7" t="s">
        <v>394</v>
      </c>
      <c r="B77" s="7" t="str">
        <f>VLOOKUP(C77,'Organisation names'!$B$4:$D$130,3,FALSE)</f>
        <v>Kent and Medway</v>
      </c>
      <c r="C77" s="7" t="s">
        <v>78</v>
      </c>
      <c r="D77" s="7" t="str">
        <f>VLOOKUP(C77,'Organisation names'!$B$4:$D$130,2,FALSE)</f>
        <v>Dartford and Gravesham NHS Trust</v>
      </c>
      <c r="E77" s="72">
        <v>85</v>
      </c>
      <c r="F77" s="21">
        <v>0.1176470592617989</v>
      </c>
      <c r="G77" s="21">
        <v>0.23529411852359769</v>
      </c>
      <c r="H77" s="21">
        <v>0.38823530077934271</v>
      </c>
      <c r="I77" s="21">
        <v>0.25882354378700262</v>
      </c>
      <c r="J77" s="21">
        <v>2.857142873108387E-2</v>
      </c>
      <c r="K77" s="21">
        <v>0.2142857164144516</v>
      </c>
      <c r="L77" s="21">
        <v>0.15714286267757421</v>
      </c>
      <c r="M77" s="21">
        <v>0.60000002384185791</v>
      </c>
      <c r="N77" s="21">
        <v>0.24615384638309479</v>
      </c>
      <c r="O77" s="21">
        <v>0.23076923191547391</v>
      </c>
      <c r="P77" s="21">
        <v>0.30769231915473938</v>
      </c>
      <c r="Q77" s="21">
        <v>0.18461538851261139</v>
      </c>
      <c r="R77" s="21">
        <v>3.0769230797886848E-2</v>
      </c>
      <c r="S77" s="21">
        <v>0.12941177189350131</v>
      </c>
      <c r="T77" s="21">
        <v>0.15294118225574491</v>
      </c>
      <c r="U77" s="21">
        <v>0.21176470816135409</v>
      </c>
      <c r="V77" s="21">
        <v>0.24705882370471949</v>
      </c>
      <c r="W77" s="21">
        <v>0.25882354378700262</v>
      </c>
      <c r="Z77" s="71"/>
      <c r="AA77" s="71"/>
      <c r="AB77" s="71"/>
      <c r="AC77" s="71"/>
    </row>
    <row r="78" spans="1:29" s="7" customFormat="1" x14ac:dyDescent="0.45">
      <c r="A78" s="7" t="s">
        <v>394</v>
      </c>
      <c r="B78" s="7" t="str">
        <f>VLOOKUP(C78,'Organisation names'!$B$4:$D$130,3,FALSE)</f>
        <v>West Midlands</v>
      </c>
      <c r="C78" s="7" t="s">
        <v>79</v>
      </c>
      <c r="D78" s="7" t="str">
        <f>VLOOKUP(C78,'Organisation names'!$B$4:$D$130,2,FALSE)</f>
        <v>The Dudley Group NHS Foundation Trust</v>
      </c>
      <c r="E78" s="72">
        <v>132</v>
      </c>
      <c r="F78" s="21">
        <v>0.11363636702299119</v>
      </c>
      <c r="G78" s="21">
        <v>0.14393939077854159</v>
      </c>
      <c r="H78" s="21">
        <v>0.37878787517547607</v>
      </c>
      <c r="I78" s="21">
        <v>0.36363637447357178</v>
      </c>
      <c r="J78" s="21">
        <v>0.1304347813129425</v>
      </c>
      <c r="K78" s="21">
        <v>0.1195652186870575</v>
      </c>
      <c r="L78" s="21">
        <v>0.1521739065647125</v>
      </c>
      <c r="M78" s="21">
        <v>0.59782606363296509</v>
      </c>
      <c r="N78" s="21">
        <v>0.26190477609634399</v>
      </c>
      <c r="O78" s="21">
        <v>0.4047619104385376</v>
      </c>
      <c r="P78" s="21">
        <v>0.2142857164144516</v>
      </c>
      <c r="Q78" s="21">
        <v>0.1190476194024086</v>
      </c>
      <c r="R78" s="21">
        <v>0</v>
      </c>
      <c r="S78" s="21">
        <v>0.25</v>
      </c>
      <c r="T78" s="21">
        <v>0.2121212184429169</v>
      </c>
      <c r="U78" s="21">
        <v>0.15909090638160711</v>
      </c>
      <c r="V78" s="21">
        <v>0.14393939077854159</v>
      </c>
      <c r="W78" s="21">
        <v>0.23484848439693451</v>
      </c>
      <c r="Z78" s="71"/>
      <c r="AA78" s="71"/>
      <c r="AB78" s="71"/>
      <c r="AC78" s="71"/>
    </row>
    <row r="79" spans="1:29" s="7" customFormat="1" x14ac:dyDescent="0.45">
      <c r="A79" s="7" t="s">
        <v>394</v>
      </c>
      <c r="B79" s="7" t="str">
        <f>VLOOKUP(C79,'Organisation names'!$B$4:$D$130,3,FALSE)</f>
        <v>Northern</v>
      </c>
      <c r="C79" s="7" t="s">
        <v>80</v>
      </c>
      <c r="D79" s="7" t="str">
        <f>VLOOKUP(C79,'Organisation names'!$B$4:$D$130,2,FALSE)</f>
        <v>North Cumbria Integrated Care NHS Foundation Trust</v>
      </c>
      <c r="E79" s="72">
        <v>89</v>
      </c>
      <c r="F79" s="21">
        <v>6.7415729165077209E-2</v>
      </c>
      <c r="G79" s="21">
        <v>0.2359550595283508</v>
      </c>
      <c r="H79" s="21">
        <v>0.30337077379226679</v>
      </c>
      <c r="I79" s="21">
        <v>0.39325842261314392</v>
      </c>
      <c r="J79" s="21">
        <v>0.1111111119389534</v>
      </c>
      <c r="K79" s="21">
        <v>0.13333334028720861</v>
      </c>
      <c r="L79" s="21">
        <v>2.222222276031971E-2</v>
      </c>
      <c r="M79" s="21">
        <v>0.73333334922790527</v>
      </c>
      <c r="N79" s="21">
        <v>0.17647059261798859</v>
      </c>
      <c r="O79" s="21">
        <v>0.4117647111415863</v>
      </c>
      <c r="P79" s="21">
        <v>0.35294118523597717</v>
      </c>
      <c r="Q79" s="21">
        <v>5.8823529630899429E-2</v>
      </c>
      <c r="R79" s="21">
        <v>0</v>
      </c>
      <c r="S79" s="21">
        <v>0.15730337798595431</v>
      </c>
      <c r="T79" s="21">
        <v>0.24719101190567019</v>
      </c>
      <c r="U79" s="21">
        <v>0.28089886903762817</v>
      </c>
      <c r="V79" s="21">
        <v>0.19101123511791229</v>
      </c>
      <c r="W79" s="21">
        <v>0.1235955059528351</v>
      </c>
      <c r="Z79" s="71"/>
      <c r="AA79" s="71"/>
      <c r="AB79" s="71"/>
      <c r="AC79" s="71"/>
    </row>
    <row r="80" spans="1:29" s="7" customFormat="1" x14ac:dyDescent="0.45">
      <c r="A80" s="7" t="s">
        <v>394</v>
      </c>
      <c r="B80" s="7" t="str">
        <f>VLOOKUP(C80,'Organisation names'!$B$4:$D$130,3,FALSE)</f>
        <v>East Midlands</v>
      </c>
      <c r="C80" s="7" t="s">
        <v>81</v>
      </c>
      <c r="D80" s="7" t="str">
        <f>VLOOKUP(C80,'Organisation names'!$B$4:$D$130,2,FALSE)</f>
        <v>Kettering General Hospital NHS Foundation Trust</v>
      </c>
      <c r="E80" s="72">
        <v>75</v>
      </c>
      <c r="F80" s="21">
        <v>0.13333334028720861</v>
      </c>
      <c r="G80" s="21">
        <v>0.26666668057441711</v>
      </c>
      <c r="H80" s="21">
        <v>0.2800000011920929</v>
      </c>
      <c r="I80" s="21">
        <v>0.31999999284744263</v>
      </c>
      <c r="J80" s="21">
        <v>0.1020408198237419</v>
      </c>
      <c r="K80" s="21">
        <v>0.1428571492433548</v>
      </c>
      <c r="L80" s="21">
        <v>4.0816325694322593E-2</v>
      </c>
      <c r="M80" s="21">
        <v>0.71428573131561279</v>
      </c>
      <c r="N80" s="21">
        <v>0.63636362552642822</v>
      </c>
      <c r="O80" s="21">
        <v>9.0909093618392944E-2</v>
      </c>
      <c r="P80" s="21">
        <v>0.18181818723678589</v>
      </c>
      <c r="Q80" s="21">
        <v>9.0909093618392944E-2</v>
      </c>
      <c r="R80" s="21">
        <v>0</v>
      </c>
      <c r="S80" s="21">
        <v>0.119999997317791</v>
      </c>
      <c r="T80" s="21">
        <v>0.21333333849906921</v>
      </c>
      <c r="U80" s="21">
        <v>0.20000000298023221</v>
      </c>
      <c r="V80" s="21">
        <v>0.26666668057441711</v>
      </c>
      <c r="W80" s="21">
        <v>0.20000000298023221</v>
      </c>
      <c r="Z80" s="71"/>
      <c r="AA80" s="71"/>
      <c r="AB80" s="71"/>
      <c r="AC80" s="71"/>
    </row>
    <row r="81" spans="1:29" s="7" customFormat="1" x14ac:dyDescent="0.45">
      <c r="A81" s="7" t="s">
        <v>394</v>
      </c>
      <c r="B81" s="7" t="str">
        <f>VLOOKUP(C81,'Organisation names'!$B$4:$D$130,3,FALSE)</f>
        <v>East Midlands</v>
      </c>
      <c r="C81" s="7" t="s">
        <v>82</v>
      </c>
      <c r="D81" s="7" t="str">
        <f>VLOOKUP(C81,'Organisation names'!$B$4:$D$130,2,FALSE)</f>
        <v>Northampton General Hospital NHS Trust</v>
      </c>
      <c r="E81" s="72">
        <v>100</v>
      </c>
      <c r="F81" s="21">
        <v>0.10000000149011611</v>
      </c>
      <c r="G81" s="21">
        <v>0.25</v>
      </c>
      <c r="H81" s="21">
        <v>0.37000000476837158</v>
      </c>
      <c r="I81" s="21">
        <v>0.2800000011920929</v>
      </c>
      <c r="J81" s="21">
        <v>7.8947365283966064E-2</v>
      </c>
      <c r="K81" s="21">
        <v>0.11842105537652969</v>
      </c>
      <c r="L81" s="21">
        <v>0.1315789520740509</v>
      </c>
      <c r="M81" s="21">
        <v>0.67105263471603394</v>
      </c>
      <c r="N81" s="21">
        <v>0.55319148302078247</v>
      </c>
      <c r="O81" s="21">
        <v>0.2127659618854523</v>
      </c>
      <c r="P81" s="21">
        <v>0.1276595741510391</v>
      </c>
      <c r="Q81" s="21">
        <v>0.10638298094272609</v>
      </c>
      <c r="R81" s="21">
        <v>0</v>
      </c>
      <c r="S81" s="21">
        <v>0.10999999940395359</v>
      </c>
      <c r="T81" s="21">
        <v>0.10999999940395359</v>
      </c>
      <c r="U81" s="21">
        <v>0.10000000149011611</v>
      </c>
      <c r="V81" s="21">
        <v>0.37000000476837158</v>
      </c>
      <c r="W81" s="21">
        <v>0.31000000238418579</v>
      </c>
      <c r="Z81" s="71"/>
      <c r="AA81" s="71"/>
      <c r="AB81" s="71"/>
      <c r="AC81" s="71"/>
    </row>
    <row r="82" spans="1:29" s="7" customFormat="1" x14ac:dyDescent="0.45">
      <c r="A82" s="7" t="s">
        <v>394</v>
      </c>
      <c r="B82" s="7" t="str">
        <f>VLOOKUP(C82,'Organisation names'!$B$4:$D$130,3,FALSE)</f>
        <v>Somerset, Wiltshire, Avon and Gloucestershire</v>
      </c>
      <c r="C82" s="7" t="s">
        <v>83</v>
      </c>
      <c r="D82" s="7" t="str">
        <f>VLOOKUP(C82,'Organisation names'!$B$4:$D$130,2,FALSE)</f>
        <v>Salisbury NHS Foundation Trust</v>
      </c>
      <c r="E82" s="72">
        <v>86</v>
      </c>
      <c r="F82" s="21">
        <v>9.3023255467414856E-2</v>
      </c>
      <c r="G82" s="21">
        <v>0.23255814611911771</v>
      </c>
      <c r="H82" s="21">
        <v>0.27906978130340582</v>
      </c>
      <c r="I82" s="21">
        <v>0.39534884691238398</v>
      </c>
      <c r="J82" s="21">
        <v>0.1315789520740509</v>
      </c>
      <c r="K82" s="21">
        <v>9.2105261981487274E-2</v>
      </c>
      <c r="L82" s="21">
        <v>0.1578947305679321</v>
      </c>
      <c r="M82" s="21">
        <v>0.61842107772827148</v>
      </c>
      <c r="N82" s="21">
        <v>0.5</v>
      </c>
      <c r="O82" s="21">
        <v>0.26086956262588501</v>
      </c>
      <c r="P82" s="21">
        <v>0.1086956486105919</v>
      </c>
      <c r="Q82" s="21">
        <v>6.5217390656471252E-2</v>
      </c>
      <c r="R82" s="21">
        <v>6.5217390656471252E-2</v>
      </c>
      <c r="S82" s="21">
        <v>3.488372266292572E-2</v>
      </c>
      <c r="T82" s="21">
        <v>0.1162790730595589</v>
      </c>
      <c r="U82" s="21">
        <v>0.45348837971687322</v>
      </c>
      <c r="V82" s="21">
        <v>0.19767442345619199</v>
      </c>
      <c r="W82" s="21">
        <v>0.19767442345619199</v>
      </c>
      <c r="Z82" s="71"/>
      <c r="AA82" s="71"/>
      <c r="AB82" s="71"/>
      <c r="AC82" s="71"/>
    </row>
    <row r="83" spans="1:29" s="7" customFormat="1" x14ac:dyDescent="0.45">
      <c r="A83" s="7" t="s">
        <v>394</v>
      </c>
      <c r="B83" s="7" t="str">
        <f>VLOOKUP(C83,'Organisation names'!$B$4:$D$130,3,FALSE)</f>
        <v>South Yorkshire and Bassetlaw</v>
      </c>
      <c r="C83" s="7" t="s">
        <v>84</v>
      </c>
      <c r="D83" s="7" t="str">
        <f>VLOOKUP(C83,'Organisation names'!$B$4:$D$130,2,FALSE)</f>
        <v>Doncaster and Bassetlaw Teaching Hospitals NHS Foundation Trust</v>
      </c>
      <c r="E83" s="72">
        <v>147</v>
      </c>
      <c r="F83" s="21">
        <v>9.5238097012042999E-2</v>
      </c>
      <c r="G83" s="21">
        <v>0.1768707484006882</v>
      </c>
      <c r="H83" s="21">
        <v>0.39455783367156982</v>
      </c>
      <c r="I83" s="21">
        <v>0.3333333432674408</v>
      </c>
      <c r="J83" s="21">
        <v>5.8823529630899429E-2</v>
      </c>
      <c r="K83" s="21">
        <v>3.9215687662363052E-2</v>
      </c>
      <c r="L83" s="21">
        <v>3.9215687662363052E-2</v>
      </c>
      <c r="M83" s="21">
        <v>0.86274510622024536</v>
      </c>
      <c r="N83" s="21">
        <v>0.2359550595283508</v>
      </c>
      <c r="O83" s="21">
        <v>0.42696627974510187</v>
      </c>
      <c r="P83" s="21">
        <v>0.22471910715103149</v>
      </c>
      <c r="Q83" s="21">
        <v>8.9887641370296478E-2</v>
      </c>
      <c r="R83" s="21">
        <v>2.247191034257412E-2</v>
      </c>
      <c r="S83" s="21">
        <v>0.29251700639724731</v>
      </c>
      <c r="T83" s="21">
        <v>0.25850340723991388</v>
      </c>
      <c r="U83" s="21">
        <v>0.17006802558898931</v>
      </c>
      <c r="V83" s="21">
        <v>0.17006802558898931</v>
      </c>
      <c r="W83" s="21">
        <v>0.1088435351848602</v>
      </c>
      <c r="Z83" s="71"/>
      <c r="AA83" s="71"/>
      <c r="AB83" s="71"/>
      <c r="AC83" s="71"/>
    </row>
    <row r="84" spans="1:29" s="7" customFormat="1" x14ac:dyDescent="0.45">
      <c r="A84" s="7" t="s">
        <v>394</v>
      </c>
      <c r="B84" s="7" t="str">
        <f>VLOOKUP(C84,'Organisation names'!$B$4:$D$130,3,FALSE)</f>
        <v>Kent and Medway</v>
      </c>
      <c r="C84" s="7" t="s">
        <v>85</v>
      </c>
      <c r="D84" s="7" t="str">
        <f>VLOOKUP(C84,'Organisation names'!$B$4:$D$130,2,FALSE)</f>
        <v>Medway NHS Foundation Trust</v>
      </c>
      <c r="E84" s="72">
        <v>111</v>
      </c>
      <c r="F84" s="21">
        <v>0.13513512909412381</v>
      </c>
      <c r="G84" s="21">
        <v>0.28828829526901251</v>
      </c>
      <c r="H84" s="21">
        <v>0.29729729890823359</v>
      </c>
      <c r="I84" s="21">
        <v>0.27927929162979132</v>
      </c>
      <c r="J84" s="21">
        <v>3.7500001490116119E-2</v>
      </c>
      <c r="K84" s="21">
        <v>0.1875</v>
      </c>
      <c r="L84" s="21">
        <v>0.17499999701976779</v>
      </c>
      <c r="M84" s="21">
        <v>0.60000002384185791</v>
      </c>
      <c r="N84" s="21">
        <v>0.546875</v>
      </c>
      <c r="O84" s="21">
        <v>0.265625</v>
      </c>
      <c r="P84" s="21">
        <v>0.125</v>
      </c>
      <c r="Q84" s="21">
        <v>4.6875E-2</v>
      </c>
      <c r="R84" s="21">
        <v>1.5625E-2</v>
      </c>
      <c r="S84" s="21">
        <v>0.21621622145175931</v>
      </c>
      <c r="T84" s="21">
        <v>0.28828829526901251</v>
      </c>
      <c r="U84" s="21">
        <v>0.24324324727058411</v>
      </c>
      <c r="V84" s="21">
        <v>0.1441441476345062</v>
      </c>
      <c r="W84" s="21">
        <v>0.1081081107258797</v>
      </c>
      <c r="Z84" s="71"/>
      <c r="AA84" s="71"/>
      <c r="AB84" s="71"/>
      <c r="AC84" s="71"/>
    </row>
    <row r="85" spans="1:29" s="7" customFormat="1" x14ac:dyDescent="0.45">
      <c r="A85" s="7" t="s">
        <v>394</v>
      </c>
      <c r="B85" s="7" t="str">
        <f>VLOOKUP(C85,'Organisation names'!$B$4:$D$130,3,FALSE)</f>
        <v>RM Partners</v>
      </c>
      <c r="C85" s="7" t="s">
        <v>86</v>
      </c>
      <c r="D85" s="7" t="str">
        <f>VLOOKUP(C85,'Organisation names'!$B$4:$D$130,2,FALSE)</f>
        <v>The Royal Marsden NHS Foundation Trust</v>
      </c>
      <c r="E85" s="72">
        <v>94</v>
      </c>
      <c r="F85" s="21">
        <v>0.22340425848960879</v>
      </c>
      <c r="G85" s="21">
        <v>0.2127659618854523</v>
      </c>
      <c r="H85" s="21">
        <v>0.35106381773948669</v>
      </c>
      <c r="I85" s="21">
        <v>0.2127659618854523</v>
      </c>
      <c r="J85" s="21">
        <v>0.17391304671764371</v>
      </c>
      <c r="K85" s="21">
        <v>8.6956523358821869E-2</v>
      </c>
      <c r="L85" s="21">
        <v>0.43478259444236761</v>
      </c>
      <c r="M85" s="21">
        <v>0.30434781312942499</v>
      </c>
      <c r="N85" s="21">
        <v>0.32258063554763788</v>
      </c>
      <c r="O85" s="21">
        <v>0.54838711023330688</v>
      </c>
      <c r="P85" s="21">
        <v>9.6774190664291382E-2</v>
      </c>
      <c r="Q85" s="21">
        <v>3.2258063554763787E-2</v>
      </c>
      <c r="R85" s="21">
        <v>0</v>
      </c>
      <c r="S85" s="21">
        <v>5.3191490471363068E-2</v>
      </c>
      <c r="T85" s="21">
        <v>0.1702127605676651</v>
      </c>
      <c r="U85" s="21">
        <v>0.13829787075519559</v>
      </c>
      <c r="V85" s="21">
        <v>0.2127659618854523</v>
      </c>
      <c r="W85" s="21">
        <v>0.42553192377090449</v>
      </c>
      <c r="Z85" s="71"/>
      <c r="AA85" s="71"/>
      <c r="AB85" s="71"/>
      <c r="AC85" s="71"/>
    </row>
    <row r="86" spans="1:29" s="7" customFormat="1" x14ac:dyDescent="0.45">
      <c r="A86" s="7" t="s">
        <v>394</v>
      </c>
      <c r="B86" s="7" t="str">
        <f>VLOOKUP(C86,'Organisation names'!$B$4:$D$130,3,FALSE)</f>
        <v>RM Partners</v>
      </c>
      <c r="C86" s="7" t="s">
        <v>87</v>
      </c>
      <c r="D86" s="7" t="str">
        <f>VLOOKUP(C86,'Organisation names'!$B$4:$D$130,2,FALSE)</f>
        <v>Chelsea and Westminster Hospital NHS Foundation Trust</v>
      </c>
      <c r="E86" s="72">
        <v>114</v>
      </c>
      <c r="F86" s="21">
        <v>0.23684211075305939</v>
      </c>
      <c r="G86" s="21">
        <v>0.21929824352264399</v>
      </c>
      <c r="H86" s="21">
        <v>0.21929824352264399</v>
      </c>
      <c r="I86" s="21">
        <v>0.32456141710281372</v>
      </c>
      <c r="J86" s="21">
        <v>0.11340206116437911</v>
      </c>
      <c r="K86" s="21">
        <v>0.11340206116437911</v>
      </c>
      <c r="L86" s="21">
        <v>0.20618556439876559</v>
      </c>
      <c r="M86" s="21">
        <v>0.56701028347015381</v>
      </c>
      <c r="N86" s="21">
        <v>0.28767123818397522</v>
      </c>
      <c r="O86" s="21">
        <v>0.49315068125724792</v>
      </c>
      <c r="P86" s="21">
        <v>0.1095890402793884</v>
      </c>
      <c r="Q86" s="21">
        <v>9.5890410244464874E-2</v>
      </c>
      <c r="R86" s="21">
        <v>1.369863003492355E-2</v>
      </c>
      <c r="S86" s="21">
        <v>0.1052631586790085</v>
      </c>
      <c r="T86" s="21">
        <v>0.30701753497123718</v>
      </c>
      <c r="U86" s="21">
        <v>0.22807016968727109</v>
      </c>
      <c r="V86" s="21">
        <v>0.26315790414810181</v>
      </c>
      <c r="W86" s="21">
        <v>9.6491225063800812E-2</v>
      </c>
      <c r="Z86" s="71"/>
      <c r="AA86" s="71"/>
      <c r="AB86" s="71"/>
      <c r="AC86" s="71"/>
    </row>
    <row r="87" spans="1:29" s="7" customFormat="1" x14ac:dyDescent="0.45">
      <c r="A87" s="7" t="s">
        <v>394</v>
      </c>
      <c r="B87" s="7" t="str">
        <f>VLOOKUP(C87,'Organisation names'!$B$4:$D$130,3,FALSE)</f>
        <v>East of England</v>
      </c>
      <c r="C87" s="7" t="s">
        <v>88</v>
      </c>
      <c r="D87" s="7" t="str">
        <f>VLOOKUP(C87,'Organisation names'!$B$4:$D$130,2,FALSE)</f>
        <v>The Princess Alexandra Hospital NHS Trust</v>
      </c>
      <c r="E87" s="72">
        <v>60</v>
      </c>
      <c r="F87" s="21">
        <v>5.000000074505806E-2</v>
      </c>
      <c r="G87" s="21">
        <v>0.23333333432674411</v>
      </c>
      <c r="H87" s="21">
        <v>0.34999999403953552</v>
      </c>
      <c r="I87" s="21">
        <v>0.36666667461395258</v>
      </c>
      <c r="J87" s="21">
        <v>6.1224490404129028E-2</v>
      </c>
      <c r="K87" s="21">
        <v>0.1020408198237419</v>
      </c>
      <c r="L87" s="21">
        <v>4.0816325694322593E-2</v>
      </c>
      <c r="M87" s="21">
        <v>0.79591834545135498</v>
      </c>
      <c r="N87" s="21">
        <v>0.15384615957736969</v>
      </c>
      <c r="O87" s="21">
        <v>0.35897436738014221</v>
      </c>
      <c r="P87" s="21">
        <v>0.30769231915473938</v>
      </c>
      <c r="Q87" s="21">
        <v>0.1282051354646683</v>
      </c>
      <c r="R87" s="21">
        <v>5.128205195069313E-2</v>
      </c>
      <c r="S87" s="21">
        <v>1.666666753590107E-2</v>
      </c>
      <c r="T87" s="21">
        <v>0.21666666865348819</v>
      </c>
      <c r="U87" s="21">
        <v>0.23333333432674411</v>
      </c>
      <c r="V87" s="21">
        <v>0.36666667461395258</v>
      </c>
      <c r="W87" s="21">
        <v>0.1666666716337204</v>
      </c>
      <c r="Z87" s="71"/>
      <c r="AA87" s="71"/>
      <c r="AB87" s="71"/>
      <c r="AC87" s="71"/>
    </row>
    <row r="88" spans="1:29" s="7" customFormat="1" x14ac:dyDescent="0.45">
      <c r="A88" s="7" t="s">
        <v>394</v>
      </c>
      <c r="B88" s="7" t="str">
        <f>VLOOKUP(C88,'Organisation names'!$B$4:$D$130,3,FALSE)</f>
        <v>North East London</v>
      </c>
      <c r="C88" s="7" t="s">
        <v>89</v>
      </c>
      <c r="D88" s="7" t="str">
        <f>VLOOKUP(C88,'Organisation names'!$B$4:$D$130,2,FALSE)</f>
        <v>Homerton Healthcare NHS Foundation Trust</v>
      </c>
      <c r="E88" s="72">
        <v>44</v>
      </c>
      <c r="F88" s="21">
        <v>9.0909093618392944E-2</v>
      </c>
      <c r="G88" s="21">
        <v>0.25</v>
      </c>
      <c r="H88" s="21">
        <v>0.34090909361839289</v>
      </c>
      <c r="I88" s="21">
        <v>0.31818181276321411</v>
      </c>
      <c r="J88" s="21">
        <v>3.125E-2</v>
      </c>
      <c r="K88" s="21">
        <v>6.25E-2</v>
      </c>
      <c r="L88" s="21">
        <v>9.375E-2</v>
      </c>
      <c r="M88" s="21">
        <v>0.8125</v>
      </c>
      <c r="N88" s="46" t="s">
        <v>135</v>
      </c>
      <c r="O88" s="46" t="s">
        <v>135</v>
      </c>
      <c r="P88" s="46" t="s">
        <v>135</v>
      </c>
      <c r="Q88" s="46" t="s">
        <v>135</v>
      </c>
      <c r="R88" s="46" t="s">
        <v>135</v>
      </c>
      <c r="S88" s="21">
        <v>0.47727271914482122</v>
      </c>
      <c r="T88" s="21">
        <v>0.45454546809196472</v>
      </c>
      <c r="U88" s="21">
        <v>4.5454546809196472E-2</v>
      </c>
      <c r="V88" s="21">
        <v>2.272727340459824E-2</v>
      </c>
      <c r="W88" s="21">
        <v>0</v>
      </c>
      <c r="Z88" s="71"/>
      <c r="AA88" s="71"/>
      <c r="AB88" s="71"/>
      <c r="AC88" s="71"/>
    </row>
    <row r="89" spans="1:29" s="7" customFormat="1" x14ac:dyDescent="0.45">
      <c r="A89" s="7" t="s">
        <v>394</v>
      </c>
      <c r="B89" s="7" t="str">
        <f>VLOOKUP(C89,'Organisation names'!$B$4:$D$130,3,FALSE)</f>
        <v>Northern</v>
      </c>
      <c r="C89" s="7" t="s">
        <v>90</v>
      </c>
      <c r="D89" s="7" t="str">
        <f>VLOOKUP(C89,'Organisation names'!$B$4:$D$130,2,FALSE)</f>
        <v>Gateshead Health NHS Foundation Trust</v>
      </c>
      <c r="E89" s="72">
        <v>56</v>
      </c>
      <c r="F89" s="21">
        <v>0.1428571492433548</v>
      </c>
      <c r="G89" s="21">
        <v>0.1964285671710968</v>
      </c>
      <c r="H89" s="21">
        <v>0.2678571343421936</v>
      </c>
      <c r="I89" s="21">
        <v>0.3928571343421936</v>
      </c>
      <c r="J89" s="21">
        <v>5.55555559694767E-2</v>
      </c>
      <c r="K89" s="21">
        <v>0</v>
      </c>
      <c r="L89" s="21">
        <v>8.3333335816860199E-2</v>
      </c>
      <c r="M89" s="21">
        <v>0.8611111044883728</v>
      </c>
      <c r="N89" s="21">
        <v>0.31034481525421143</v>
      </c>
      <c r="O89" s="21">
        <v>0.27586206793785101</v>
      </c>
      <c r="P89" s="21">
        <v>0.1379310339689255</v>
      </c>
      <c r="Q89" s="21">
        <v>0.20689655840396881</v>
      </c>
      <c r="R89" s="21">
        <v>6.8965516984462738E-2</v>
      </c>
      <c r="S89" s="21">
        <v>0.3214285671710968</v>
      </c>
      <c r="T89" s="21">
        <v>0.3571428656578064</v>
      </c>
      <c r="U89" s="21">
        <v>0.1071428582072258</v>
      </c>
      <c r="V89" s="21">
        <v>0.1428571492433548</v>
      </c>
      <c r="W89" s="21">
        <v>7.1428574621677399E-2</v>
      </c>
      <c r="Z89" s="71"/>
      <c r="AA89" s="71"/>
      <c r="AB89" s="71"/>
      <c r="AC89" s="71"/>
    </row>
    <row r="90" spans="1:29" s="7" customFormat="1" x14ac:dyDescent="0.45">
      <c r="A90" s="7" t="s">
        <v>394</v>
      </c>
      <c r="B90" s="7" t="str">
        <f>VLOOKUP(C90,'Organisation names'!$B$4:$D$130,3,FALSE)</f>
        <v>West Yorkshire and Harrogate</v>
      </c>
      <c r="C90" s="7" t="s">
        <v>91</v>
      </c>
      <c r="D90" s="7" t="str">
        <f>VLOOKUP(C90,'Organisation names'!$B$4:$D$130,2,FALSE)</f>
        <v>Leeds Teaching Hospitals NHS Trust</v>
      </c>
      <c r="E90" s="72">
        <v>262</v>
      </c>
      <c r="F90" s="21">
        <v>0.1412213742733002</v>
      </c>
      <c r="G90" s="21">
        <v>0.2251908332109451</v>
      </c>
      <c r="H90" s="21">
        <v>0.28625953197479248</v>
      </c>
      <c r="I90" s="21">
        <v>0.34732824563980103</v>
      </c>
      <c r="J90" s="21">
        <v>0.1877551078796387</v>
      </c>
      <c r="K90" s="21">
        <v>0.1183673441410065</v>
      </c>
      <c r="L90" s="21">
        <v>0.1224489808082581</v>
      </c>
      <c r="M90" s="21">
        <v>0.57142859697341919</v>
      </c>
      <c r="N90" s="21">
        <v>0.22826087474823001</v>
      </c>
      <c r="O90" s="21">
        <v>0.27173912525177002</v>
      </c>
      <c r="P90" s="21">
        <v>0.2173912972211838</v>
      </c>
      <c r="Q90" s="21">
        <v>0.17391304671764371</v>
      </c>
      <c r="R90" s="21">
        <v>0.1086956486105919</v>
      </c>
      <c r="S90" s="21">
        <v>0.2786259651184082</v>
      </c>
      <c r="T90" s="21">
        <v>0.1068702265620232</v>
      </c>
      <c r="U90" s="21">
        <v>0.20992366969585419</v>
      </c>
      <c r="V90" s="21">
        <v>0.2137404531240463</v>
      </c>
      <c r="W90" s="21">
        <v>0.19083969295024869</v>
      </c>
      <c r="Z90" s="71"/>
      <c r="AA90" s="71"/>
      <c r="AB90" s="71"/>
      <c r="AC90" s="71"/>
    </row>
    <row r="91" spans="1:29" s="7" customFormat="1" x14ac:dyDescent="0.45">
      <c r="A91" s="7" t="s">
        <v>394</v>
      </c>
      <c r="B91" s="7" t="str">
        <f>VLOOKUP(C91,'Organisation names'!$B$4:$D$130,3,FALSE)</f>
        <v>Greater Manchester</v>
      </c>
      <c r="C91" s="7" t="s">
        <v>92</v>
      </c>
      <c r="D91" s="7" t="str">
        <f>VLOOKUP(C91,'Organisation names'!$B$4:$D$130,2,FALSE)</f>
        <v>Wrightington, Wigan and Leigh NHS Foundation Trust</v>
      </c>
      <c r="E91" s="72">
        <v>98</v>
      </c>
      <c r="F91" s="21">
        <v>0.2142857164144516</v>
      </c>
      <c r="G91" s="21">
        <v>0.1224489808082581</v>
      </c>
      <c r="H91" s="21">
        <v>0.3571428656578064</v>
      </c>
      <c r="I91" s="21">
        <v>0.30612245202064509</v>
      </c>
      <c r="J91" s="21">
        <v>0.10227272659540181</v>
      </c>
      <c r="K91" s="21">
        <v>0.15909090638160711</v>
      </c>
      <c r="L91" s="21">
        <v>0.1704545468091965</v>
      </c>
      <c r="M91" s="21">
        <v>0.56818181276321411</v>
      </c>
      <c r="N91" s="21">
        <v>8.3333335816860199E-2</v>
      </c>
      <c r="O91" s="21">
        <v>0.4404761791229248</v>
      </c>
      <c r="P91" s="21">
        <v>0.2380952388048172</v>
      </c>
      <c r="Q91" s="21">
        <v>0.1666666716337204</v>
      </c>
      <c r="R91" s="21">
        <v>7.1428574621677399E-2</v>
      </c>
      <c r="S91" s="21">
        <v>0.36734694242477423</v>
      </c>
      <c r="T91" s="21">
        <v>0.1020408198237419</v>
      </c>
      <c r="U91" s="21">
        <v>0.16326530277729029</v>
      </c>
      <c r="V91" s="21">
        <v>0.16326530277729029</v>
      </c>
      <c r="W91" s="21">
        <v>0.2040816396474838</v>
      </c>
      <c r="Z91" s="71"/>
      <c r="AA91" s="71"/>
      <c r="AB91" s="71"/>
      <c r="AC91" s="71"/>
    </row>
    <row r="92" spans="1:29" s="7" customFormat="1" x14ac:dyDescent="0.45">
      <c r="A92" s="7" t="s">
        <v>394</v>
      </c>
      <c r="B92" s="7" t="str">
        <f>VLOOKUP(C92,'Organisation names'!$B$4:$D$130,3,FALSE)</f>
        <v>West Midlands</v>
      </c>
      <c r="C92" s="7" t="s">
        <v>93</v>
      </c>
      <c r="D92" s="7" t="str">
        <f>VLOOKUP(C92,'Organisation names'!$B$4:$D$130,2,FALSE)</f>
        <v>University Hospitals Birmingham NHS Foundation Trust</v>
      </c>
      <c r="E92" s="72">
        <v>368</v>
      </c>
      <c r="F92" s="21">
        <v>0.16847826540470121</v>
      </c>
      <c r="G92" s="21">
        <v>0.23913043737411499</v>
      </c>
      <c r="H92" s="21">
        <v>0.35326087474822998</v>
      </c>
      <c r="I92" s="21">
        <v>0.23913043737411499</v>
      </c>
      <c r="J92" s="21">
        <v>0.139737993478775</v>
      </c>
      <c r="K92" s="21">
        <v>0.15283842384815219</v>
      </c>
      <c r="L92" s="21">
        <v>0.16593886911869049</v>
      </c>
      <c r="M92" s="21">
        <v>0.54148471355438232</v>
      </c>
      <c r="N92" s="21">
        <v>0.54347825050354004</v>
      </c>
      <c r="O92" s="21">
        <v>0.32608696818351751</v>
      </c>
      <c r="P92" s="21">
        <v>9.4202898442745209E-2</v>
      </c>
      <c r="Q92" s="21">
        <v>2.898550778627396E-2</v>
      </c>
      <c r="R92" s="21">
        <v>7.2463769465684891E-3</v>
      </c>
      <c r="S92" s="21">
        <v>0.29347825050353998</v>
      </c>
      <c r="T92" s="21">
        <v>0.19836956262588501</v>
      </c>
      <c r="U92" s="21">
        <v>0.20108695328235629</v>
      </c>
      <c r="V92" s="21">
        <v>0.1576087027788162</v>
      </c>
      <c r="W92" s="21">
        <v>0.1494565159082413</v>
      </c>
      <c r="Z92" s="71"/>
      <c r="AA92" s="71"/>
      <c r="AB92" s="71"/>
      <c r="AC92" s="71"/>
    </row>
    <row r="93" spans="1:29" s="7" customFormat="1" x14ac:dyDescent="0.45">
      <c r="A93" s="7" t="s">
        <v>394</v>
      </c>
      <c r="B93" s="7" t="str">
        <f>VLOOKUP(C93,'Organisation names'!$B$4:$D$130,3,FALSE)</f>
        <v>North Central London</v>
      </c>
      <c r="C93" s="7" t="s">
        <v>94</v>
      </c>
      <c r="D93" s="7" t="str">
        <f>VLOOKUP(C93,'Organisation names'!$B$4:$D$130,2,FALSE)</f>
        <v>University College London Hospitals NHS Foundation Trust</v>
      </c>
      <c r="E93" s="72">
        <v>57</v>
      </c>
      <c r="F93" s="21">
        <v>0.26315790414810181</v>
      </c>
      <c r="G93" s="21">
        <v>0.1052631586790085</v>
      </c>
      <c r="H93" s="21">
        <v>0.3684210479259491</v>
      </c>
      <c r="I93" s="21">
        <v>0.26315790414810181</v>
      </c>
      <c r="J93" s="21">
        <v>0.1052631586790085</v>
      </c>
      <c r="K93" s="21">
        <v>0</v>
      </c>
      <c r="L93" s="21">
        <v>0</v>
      </c>
      <c r="M93" s="21">
        <v>0.89473682641983032</v>
      </c>
      <c r="N93" s="46" t="s">
        <v>135</v>
      </c>
      <c r="O93" s="46" t="s">
        <v>135</v>
      </c>
      <c r="P93" s="46" t="s">
        <v>135</v>
      </c>
      <c r="Q93" s="46" t="s">
        <v>135</v>
      </c>
      <c r="R93" s="46" t="s">
        <v>135</v>
      </c>
      <c r="S93" s="21">
        <v>0.1754385977983475</v>
      </c>
      <c r="T93" s="21">
        <v>0.3333333432674408</v>
      </c>
      <c r="U93" s="21">
        <v>0.1929824501276016</v>
      </c>
      <c r="V93" s="21">
        <v>0.1578947305679321</v>
      </c>
      <c r="W93" s="21">
        <v>0.14035087823867801</v>
      </c>
      <c r="Z93" s="71"/>
      <c r="AA93" s="71"/>
      <c r="AB93" s="71"/>
      <c r="AC93" s="71"/>
    </row>
    <row r="94" spans="1:29" s="7" customFormat="1" x14ac:dyDescent="0.45">
      <c r="A94" s="7" t="s">
        <v>394</v>
      </c>
      <c r="B94" s="7" t="str">
        <f>VLOOKUP(C94,'Organisation names'!$B$4:$D$130,3,FALSE)</f>
        <v>Northern</v>
      </c>
      <c r="C94" s="7" t="s">
        <v>95</v>
      </c>
      <c r="D94" s="7" t="str">
        <f>VLOOKUP(C94,'Organisation names'!$B$4:$D$130,2,FALSE)</f>
        <v>The Newcastle Upon Tyne Hospitals NHS Foundation Trust</v>
      </c>
      <c r="E94" s="72">
        <v>326</v>
      </c>
      <c r="F94" s="21">
        <v>0.1809815913438797</v>
      </c>
      <c r="G94" s="21">
        <v>0.32515338063240051</v>
      </c>
      <c r="H94" s="21">
        <v>0.32515338063240051</v>
      </c>
      <c r="I94" s="21">
        <v>0.1687116622924805</v>
      </c>
      <c r="J94" s="21">
        <v>0.17326731979846949</v>
      </c>
      <c r="K94" s="21">
        <v>0.19801980257034299</v>
      </c>
      <c r="L94" s="21">
        <v>0.19306930899620059</v>
      </c>
      <c r="M94" s="21">
        <v>0.43564355373382568</v>
      </c>
      <c r="N94" s="21">
        <v>0.46875</v>
      </c>
      <c r="O94" s="21">
        <v>0.3571428656578064</v>
      </c>
      <c r="P94" s="21">
        <v>0.1160714253783226</v>
      </c>
      <c r="Q94" s="21">
        <v>5.8035712689161301E-2</v>
      </c>
      <c r="R94" s="21">
        <v>0</v>
      </c>
      <c r="S94" s="21">
        <v>0.28527608513832092</v>
      </c>
      <c r="T94" s="21">
        <v>0.2147239297628403</v>
      </c>
      <c r="U94" s="21">
        <v>0.15950919687747961</v>
      </c>
      <c r="V94" s="21">
        <v>0.17177914083004001</v>
      </c>
      <c r="W94" s="21">
        <v>0.1687116622924805</v>
      </c>
      <c r="Z94" s="71"/>
      <c r="AA94" s="71"/>
      <c r="AB94" s="71"/>
      <c r="AC94" s="71"/>
    </row>
    <row r="95" spans="1:29" s="7" customFormat="1" x14ac:dyDescent="0.45">
      <c r="A95" s="7" t="s">
        <v>394</v>
      </c>
      <c r="B95" s="7" t="str">
        <f>VLOOKUP(C95,'Organisation names'!$B$4:$D$130,3,FALSE)</f>
        <v>Somerset, Wiltshire, Avon and Gloucestershire</v>
      </c>
      <c r="C95" s="7" t="s">
        <v>96</v>
      </c>
      <c r="D95" s="7" t="str">
        <f>VLOOKUP(C95,'Organisation names'!$B$4:$D$130,2,FALSE)</f>
        <v>Gloucestershire Hospitals NHS Foundation Trust</v>
      </c>
      <c r="E95" s="72">
        <v>209</v>
      </c>
      <c r="F95" s="21">
        <v>0.1148325353860855</v>
      </c>
      <c r="G95" s="21">
        <v>0.19138756394386289</v>
      </c>
      <c r="H95" s="21">
        <v>0.37799042463302612</v>
      </c>
      <c r="I95" s="21">
        <v>0.31578946113586431</v>
      </c>
      <c r="J95" s="21">
        <v>0.1428571492433548</v>
      </c>
      <c r="K95" s="21">
        <v>0.2275132238864899</v>
      </c>
      <c r="L95" s="21">
        <v>3.7037037312984467E-2</v>
      </c>
      <c r="M95" s="21">
        <v>0.59259259700775146</v>
      </c>
      <c r="N95" s="21">
        <v>0.1875</v>
      </c>
      <c r="O95" s="21">
        <v>0.33522728085517878</v>
      </c>
      <c r="P95" s="21">
        <v>0.35795453190803528</v>
      </c>
      <c r="Q95" s="21">
        <v>0.1079545468091965</v>
      </c>
      <c r="R95" s="21">
        <v>1.136363670229912E-2</v>
      </c>
      <c r="S95" s="21">
        <v>4.3062202632427223E-2</v>
      </c>
      <c r="T95" s="21">
        <v>0.1052631586790085</v>
      </c>
      <c r="U95" s="21">
        <v>0.25358852744102478</v>
      </c>
      <c r="V95" s="21">
        <v>0.26794257760047913</v>
      </c>
      <c r="W95" s="21">
        <v>0.33014354109764099</v>
      </c>
      <c r="Z95" s="71"/>
      <c r="AA95" s="71"/>
      <c r="AB95" s="71"/>
      <c r="AC95" s="71"/>
    </row>
    <row r="96" spans="1:29" s="7" customFormat="1" x14ac:dyDescent="0.45">
      <c r="A96" s="7" t="s">
        <v>394</v>
      </c>
      <c r="B96" s="7" t="str">
        <f>VLOOKUP(C96,'Organisation names'!$B$4:$D$130,3,FALSE)</f>
        <v>Northern</v>
      </c>
      <c r="C96" s="7" t="s">
        <v>97</v>
      </c>
      <c r="D96" s="7" t="str">
        <f>VLOOKUP(C96,'Organisation names'!$B$4:$D$130,2,FALSE)</f>
        <v>Northumbria Healthcare NHS Foundation Trust</v>
      </c>
      <c r="E96" s="72">
        <v>118</v>
      </c>
      <c r="F96" s="21">
        <v>4.237288236618042E-2</v>
      </c>
      <c r="G96" s="21">
        <v>0.27966102957725519</v>
      </c>
      <c r="H96" s="21">
        <v>0.32203391194343572</v>
      </c>
      <c r="I96" s="21">
        <v>0.35593220591545099</v>
      </c>
      <c r="J96" s="21">
        <v>8.7912090122699738E-2</v>
      </c>
      <c r="K96" s="21">
        <v>0.1318681389093399</v>
      </c>
      <c r="L96" s="21">
        <v>0.15384615957736969</v>
      </c>
      <c r="M96" s="21">
        <v>0.62637364864349365</v>
      </c>
      <c r="N96" s="21">
        <v>0.34375</v>
      </c>
      <c r="O96" s="21">
        <v>0.3333333432674408</v>
      </c>
      <c r="P96" s="21">
        <v>0.1770833283662796</v>
      </c>
      <c r="Q96" s="21">
        <v>0.1458333283662796</v>
      </c>
      <c r="R96" s="21">
        <v>0</v>
      </c>
      <c r="S96" s="21">
        <v>0.23728813230991361</v>
      </c>
      <c r="T96" s="21">
        <v>0.16101695597171781</v>
      </c>
      <c r="U96" s="21">
        <v>0.22881355881690979</v>
      </c>
      <c r="V96" s="21">
        <v>0.1779661029577255</v>
      </c>
      <c r="W96" s="21">
        <v>0.19491524994373319</v>
      </c>
      <c r="Z96" s="71"/>
      <c r="AA96" s="71"/>
      <c r="AB96" s="71"/>
      <c r="AC96" s="71"/>
    </row>
    <row r="97" spans="1:29" s="7" customFormat="1" x14ac:dyDescent="0.45">
      <c r="A97" s="7" t="s">
        <v>394</v>
      </c>
      <c r="B97" s="7" t="str">
        <f>VLOOKUP(C97,'Organisation names'!$B$4:$D$130,3,FALSE)</f>
        <v>East Midlands</v>
      </c>
      <c r="C97" s="7" t="s">
        <v>98</v>
      </c>
      <c r="D97" s="7" t="str">
        <f>VLOOKUP(C97,'Organisation names'!$B$4:$D$130,2,FALSE)</f>
        <v>University Hospitals Of Derby and Burton NHS Foundation Trust</v>
      </c>
      <c r="E97" s="72">
        <v>242</v>
      </c>
      <c r="F97" s="21">
        <v>8.2644626498222351E-2</v>
      </c>
      <c r="G97" s="21">
        <v>0.2190082669258118</v>
      </c>
      <c r="H97" s="21">
        <v>0.36363637447357178</v>
      </c>
      <c r="I97" s="21">
        <v>0.3347107470035553</v>
      </c>
      <c r="J97" s="21">
        <v>8.3832338452339172E-2</v>
      </c>
      <c r="K97" s="21">
        <v>0.1077844277024269</v>
      </c>
      <c r="L97" s="21">
        <v>0.12574850022792819</v>
      </c>
      <c r="M97" s="21">
        <v>0.68263471126556396</v>
      </c>
      <c r="N97" s="21">
        <v>0.37278106808662409</v>
      </c>
      <c r="O97" s="21">
        <v>0.30177515745162958</v>
      </c>
      <c r="P97" s="21">
        <v>0.15976330637931821</v>
      </c>
      <c r="Q97" s="21">
        <v>0.14792899787425989</v>
      </c>
      <c r="R97" s="21">
        <v>1.7751479521393779E-2</v>
      </c>
      <c r="S97" s="21">
        <v>0.13636364042758939</v>
      </c>
      <c r="T97" s="21">
        <v>0.14876033365726471</v>
      </c>
      <c r="U97" s="21">
        <v>0.2190082669258118</v>
      </c>
      <c r="V97" s="21">
        <v>0.20247933268547061</v>
      </c>
      <c r="W97" s="21">
        <v>0.29338842630386353</v>
      </c>
      <c r="Z97" s="71"/>
      <c r="AA97" s="71"/>
      <c r="AB97" s="71"/>
      <c r="AC97" s="71"/>
    </row>
    <row r="98" spans="1:29" s="7" customFormat="1" x14ac:dyDescent="0.45">
      <c r="A98" s="7" t="s">
        <v>394</v>
      </c>
      <c r="B98" s="7" t="str">
        <f>VLOOKUP(C98,'Organisation names'!$B$4:$D$130,3,FALSE)</f>
        <v>Thames Valley</v>
      </c>
      <c r="C98" s="7" t="s">
        <v>99</v>
      </c>
      <c r="D98" s="7" t="str">
        <f>VLOOKUP(C98,'Organisation names'!$B$4:$D$130,2,FALSE)</f>
        <v>Oxford University Hospitals NHS Foundation Trust</v>
      </c>
      <c r="E98" s="72">
        <v>264</v>
      </c>
      <c r="F98" s="21">
        <v>0.14772726595401761</v>
      </c>
      <c r="G98" s="21">
        <v>0.2045454531908035</v>
      </c>
      <c r="H98" s="21">
        <v>0.375</v>
      </c>
      <c r="I98" s="21">
        <v>0.27272728085517878</v>
      </c>
      <c r="J98" s="21">
        <v>0.14130434393882749</v>
      </c>
      <c r="K98" s="21">
        <v>0.1521739065647125</v>
      </c>
      <c r="L98" s="21">
        <v>0.13586956262588501</v>
      </c>
      <c r="M98" s="21">
        <v>0.57065218687057495</v>
      </c>
      <c r="N98" s="21">
        <v>0.40999999642372131</v>
      </c>
      <c r="O98" s="21">
        <v>0.34000000357627869</v>
      </c>
      <c r="P98" s="21">
        <v>0.17000000178813929</v>
      </c>
      <c r="Q98" s="21">
        <v>7.0000000298023224E-2</v>
      </c>
      <c r="R98" s="21">
        <v>9.9999997764825821E-3</v>
      </c>
      <c r="S98" s="21">
        <v>4.1666667908430099E-2</v>
      </c>
      <c r="T98" s="21">
        <v>5.681818351149559E-2</v>
      </c>
      <c r="U98" s="21">
        <v>0.1666666716337204</v>
      </c>
      <c r="V98" s="21">
        <v>0.27651515603065491</v>
      </c>
      <c r="W98" s="21">
        <v>0.4583333432674408</v>
      </c>
      <c r="Z98" s="71"/>
      <c r="AA98" s="71"/>
      <c r="AB98" s="71"/>
      <c r="AC98" s="71"/>
    </row>
    <row r="99" spans="1:29" s="7" customFormat="1" x14ac:dyDescent="0.45">
      <c r="A99" s="7" t="s">
        <v>394</v>
      </c>
      <c r="B99" s="7" t="str">
        <f>VLOOKUP(C99,'Organisation names'!$B$4:$D$130,3,FALSE)</f>
        <v>Surrey and Sussex</v>
      </c>
      <c r="C99" s="7" t="s">
        <v>100</v>
      </c>
      <c r="D99" s="7" t="str">
        <f>VLOOKUP(C99,'Organisation names'!$B$4:$D$130,2,FALSE)</f>
        <v>Ashford and St Peter's Hospitals NHS Foundation Trust</v>
      </c>
      <c r="E99" s="72">
        <v>118</v>
      </c>
      <c r="F99" s="21">
        <v>0.12711864709854129</v>
      </c>
      <c r="G99" s="21">
        <v>0.2118644118309021</v>
      </c>
      <c r="H99" s="21">
        <v>0.38135594129562378</v>
      </c>
      <c r="I99" s="21">
        <v>0.27966102957725519</v>
      </c>
      <c r="J99" s="21">
        <v>0.20270270109176641</v>
      </c>
      <c r="K99" s="21">
        <v>5.4054055362939828E-2</v>
      </c>
      <c r="L99" s="21">
        <v>9.4594597816467285E-2</v>
      </c>
      <c r="M99" s="21">
        <v>0.64864861965179443</v>
      </c>
      <c r="N99" s="21">
        <v>0.41333332657814031</v>
      </c>
      <c r="O99" s="21">
        <v>0.31999999284744263</v>
      </c>
      <c r="P99" s="21">
        <v>0.21333333849906921</v>
      </c>
      <c r="Q99" s="21">
        <v>5.3333334624767303E-2</v>
      </c>
      <c r="R99" s="21">
        <v>0</v>
      </c>
      <c r="S99" s="21">
        <v>8.4745762869715691E-3</v>
      </c>
      <c r="T99" s="21">
        <v>0.1355932205915451</v>
      </c>
      <c r="U99" s="21">
        <v>0.23728813230991361</v>
      </c>
      <c r="V99" s="21">
        <v>0.2881355881690979</v>
      </c>
      <c r="W99" s="21">
        <v>0.33050847053527832</v>
      </c>
      <c r="Z99" s="71"/>
      <c r="AA99" s="71"/>
      <c r="AB99" s="71"/>
      <c r="AC99" s="71"/>
    </row>
    <row r="100" spans="1:29" s="7" customFormat="1" x14ac:dyDescent="0.45">
      <c r="A100" s="7" t="s">
        <v>394</v>
      </c>
      <c r="B100" s="7" t="str">
        <f>VLOOKUP(C100,'Organisation names'!$B$4:$D$130,3,FALSE)</f>
        <v>Surrey and Sussex</v>
      </c>
      <c r="C100" s="7" t="s">
        <v>101</v>
      </c>
      <c r="D100" s="7" t="str">
        <f>VLOOKUP(C100,'Organisation names'!$B$4:$D$130,2,FALSE)</f>
        <v>Surrey and Sussex Healthcare NHS Trust</v>
      </c>
      <c r="E100" s="72">
        <v>128</v>
      </c>
      <c r="F100" s="21">
        <v>0.1015625</v>
      </c>
      <c r="G100" s="21">
        <v>0.1875</v>
      </c>
      <c r="H100" s="21">
        <v>0.3359375</v>
      </c>
      <c r="I100" s="21">
        <v>0.375</v>
      </c>
      <c r="J100" s="21">
        <v>8.4507040679454803E-2</v>
      </c>
      <c r="K100" s="21">
        <v>5.6338027119636543E-2</v>
      </c>
      <c r="L100" s="21">
        <v>0.1126760542392731</v>
      </c>
      <c r="M100" s="21">
        <v>0.7464788556098938</v>
      </c>
      <c r="N100" s="21">
        <v>0.26086956262588501</v>
      </c>
      <c r="O100" s="21">
        <v>0.47826087474822998</v>
      </c>
      <c r="P100" s="21">
        <v>0.1086956486105919</v>
      </c>
      <c r="Q100" s="21">
        <v>0.1521739065647125</v>
      </c>
      <c r="R100" s="21">
        <v>0</v>
      </c>
      <c r="S100" s="21">
        <v>0</v>
      </c>
      <c r="T100" s="21">
        <v>0.109375</v>
      </c>
      <c r="U100" s="21">
        <v>0.21875</v>
      </c>
      <c r="V100" s="21">
        <v>0.2890625</v>
      </c>
      <c r="W100" s="21">
        <v>0.3828125</v>
      </c>
      <c r="Z100" s="71"/>
      <c r="AA100" s="71"/>
      <c r="AB100" s="71"/>
      <c r="AC100" s="71"/>
    </row>
    <row r="101" spans="1:29" s="7" customFormat="1" x14ac:dyDescent="0.45">
      <c r="A101" s="7" t="s">
        <v>394</v>
      </c>
      <c r="B101" s="7" t="str">
        <f>VLOOKUP(C101,'Organisation names'!$B$4:$D$130,3,FALSE)</f>
        <v>Northern</v>
      </c>
      <c r="C101" s="7" t="s">
        <v>102</v>
      </c>
      <c r="D101" s="7" t="str">
        <f>VLOOKUP(C101,'Organisation names'!$B$4:$D$130,2,FALSE)</f>
        <v>South Tees Hospitals NHS Foundation Trust</v>
      </c>
      <c r="E101" s="72">
        <v>120</v>
      </c>
      <c r="F101" s="21">
        <v>6.6666670143604279E-2</v>
      </c>
      <c r="G101" s="21">
        <v>0.26666668057441711</v>
      </c>
      <c r="H101" s="21">
        <v>0.2916666567325592</v>
      </c>
      <c r="I101" s="21">
        <v>0.375</v>
      </c>
      <c r="J101" s="21">
        <v>7.0175439119338989E-2</v>
      </c>
      <c r="K101" s="21">
        <v>5.2631579339504242E-2</v>
      </c>
      <c r="L101" s="21">
        <v>5.2631579339504242E-2</v>
      </c>
      <c r="M101" s="21">
        <v>0.82456141710281372</v>
      </c>
      <c r="N101" s="21">
        <v>0.15000000596046451</v>
      </c>
      <c r="O101" s="21">
        <v>0.44999998807907099</v>
      </c>
      <c r="P101" s="21">
        <v>0.17499999701976779</v>
      </c>
      <c r="Q101" s="21">
        <v>0.20000000298023221</v>
      </c>
      <c r="R101" s="21">
        <v>2.500000037252903E-2</v>
      </c>
      <c r="S101" s="21">
        <v>0.21666666865348819</v>
      </c>
      <c r="T101" s="21">
        <v>0.19166666269302371</v>
      </c>
      <c r="U101" s="21">
        <v>0.13333334028720861</v>
      </c>
      <c r="V101" s="21">
        <v>0.21666666865348819</v>
      </c>
      <c r="W101" s="21">
        <v>0.24166665971279139</v>
      </c>
      <c r="Z101" s="71"/>
      <c r="AA101" s="71"/>
      <c r="AB101" s="71"/>
      <c r="AC101" s="71"/>
    </row>
    <row r="102" spans="1:29" s="7" customFormat="1" x14ac:dyDescent="0.45">
      <c r="A102" s="7" t="s">
        <v>394</v>
      </c>
      <c r="B102" s="7" t="str">
        <f>VLOOKUP(C102,'Organisation names'!$B$4:$D$130,3,FALSE)</f>
        <v>Lancashire and South Cumbria</v>
      </c>
      <c r="C102" s="7" t="s">
        <v>103</v>
      </c>
      <c r="D102" s="7" t="str">
        <f>VLOOKUP(C102,'Organisation names'!$B$4:$D$130,2,FALSE)</f>
        <v>University Hospitals Of Morecambe Bay NHS Foundation Trust</v>
      </c>
      <c r="E102" s="72">
        <v>100</v>
      </c>
      <c r="F102" s="21">
        <v>7.9999998211860657E-2</v>
      </c>
      <c r="G102" s="21">
        <v>0.1800000071525574</v>
      </c>
      <c r="H102" s="21">
        <v>0.41999998688697809</v>
      </c>
      <c r="I102" s="21">
        <v>0.31999999284744263</v>
      </c>
      <c r="J102" s="21">
        <v>4.109589010477066E-2</v>
      </c>
      <c r="K102" s="21">
        <v>0.1095890402793884</v>
      </c>
      <c r="L102" s="21">
        <v>0.1095890402793884</v>
      </c>
      <c r="M102" s="21">
        <v>0.73972600698471069</v>
      </c>
      <c r="N102" s="21">
        <v>0.20779220759868619</v>
      </c>
      <c r="O102" s="21">
        <v>0.33766233921051031</v>
      </c>
      <c r="P102" s="21">
        <v>0.25974026322364813</v>
      </c>
      <c r="Q102" s="21">
        <v>0.1168831139802933</v>
      </c>
      <c r="R102" s="21">
        <v>7.7922075986862183E-2</v>
      </c>
      <c r="S102" s="21">
        <v>0.14000000059604639</v>
      </c>
      <c r="T102" s="21">
        <v>0.17000000178813929</v>
      </c>
      <c r="U102" s="21">
        <v>0.23000000417232511</v>
      </c>
      <c r="V102" s="21">
        <v>0.2800000011920929</v>
      </c>
      <c r="W102" s="21">
        <v>0.1800000071525574</v>
      </c>
      <c r="Z102" s="71"/>
      <c r="AA102" s="71"/>
      <c r="AB102" s="71"/>
      <c r="AC102" s="71"/>
    </row>
    <row r="103" spans="1:29" s="7" customFormat="1" x14ac:dyDescent="0.45">
      <c r="A103" s="7" t="s">
        <v>394</v>
      </c>
      <c r="B103" s="7" t="str">
        <f>VLOOKUP(C103,'Organisation names'!$B$4:$D$130,3,FALSE)</f>
        <v>Somerset, Wiltshire, Avon and Gloucestershire</v>
      </c>
      <c r="C103" s="7" t="s">
        <v>104</v>
      </c>
      <c r="D103" s="7" t="str">
        <f>VLOOKUP(C103,'Organisation names'!$B$4:$D$130,2,FALSE)</f>
        <v>North Bristol NHS Trust</v>
      </c>
      <c r="E103" s="72">
        <v>91</v>
      </c>
      <c r="F103" s="21">
        <v>0.1318681389093399</v>
      </c>
      <c r="G103" s="21">
        <v>0.15384615957736969</v>
      </c>
      <c r="H103" s="21">
        <v>0.35164836049079901</v>
      </c>
      <c r="I103" s="21">
        <v>0.36263737082481379</v>
      </c>
      <c r="J103" s="21">
        <v>0.1016949117183685</v>
      </c>
      <c r="K103" s="21">
        <v>3.3898305147886283E-2</v>
      </c>
      <c r="L103" s="21">
        <v>0.1525423675775528</v>
      </c>
      <c r="M103" s="21">
        <v>0.7118644118309021</v>
      </c>
      <c r="N103" s="46" t="s">
        <v>135</v>
      </c>
      <c r="O103" s="46" t="s">
        <v>135</v>
      </c>
      <c r="P103" s="46" t="s">
        <v>135</v>
      </c>
      <c r="Q103" s="46" t="s">
        <v>135</v>
      </c>
      <c r="R103" s="46" t="s">
        <v>135</v>
      </c>
      <c r="S103" s="21">
        <v>0.1318681389093399</v>
      </c>
      <c r="T103" s="21">
        <v>0.16483516991138461</v>
      </c>
      <c r="U103" s="21">
        <v>0.1208791211247444</v>
      </c>
      <c r="V103" s="21">
        <v>0.2417582422494888</v>
      </c>
      <c r="W103" s="21">
        <v>0.34065935015678411</v>
      </c>
      <c r="Z103" s="71"/>
      <c r="AA103" s="71"/>
      <c r="AB103" s="71"/>
      <c r="AC103" s="71"/>
    </row>
    <row r="104" spans="1:29" s="7" customFormat="1" x14ac:dyDescent="0.45">
      <c r="A104" s="7" t="s">
        <v>394</v>
      </c>
      <c r="B104" s="7" t="str">
        <f>VLOOKUP(C104,'Organisation names'!$B$4:$D$130,3,FALSE)</f>
        <v>RM Partners</v>
      </c>
      <c r="C104" s="7" t="s">
        <v>105</v>
      </c>
      <c r="D104" s="7" t="str">
        <f>VLOOKUP(C104,'Organisation names'!$B$4:$D$130,2,FALSE)</f>
        <v>Epsom and St Helier University Hospitals NHS Trust</v>
      </c>
      <c r="E104" s="72">
        <v>88</v>
      </c>
      <c r="F104" s="21">
        <v>9.0909093618392944E-2</v>
      </c>
      <c r="G104" s="21">
        <v>0.21590909361839289</v>
      </c>
      <c r="H104" s="21">
        <v>0.32954546809196472</v>
      </c>
      <c r="I104" s="21">
        <v>0.36363637447357178</v>
      </c>
      <c r="J104" s="21">
        <v>0.1428571492433548</v>
      </c>
      <c r="K104" s="21">
        <v>0.1607142835855484</v>
      </c>
      <c r="L104" s="21">
        <v>5.35714291036129E-2</v>
      </c>
      <c r="M104" s="21">
        <v>0.6428571343421936</v>
      </c>
      <c r="N104" s="21">
        <v>0.1666666716337204</v>
      </c>
      <c r="O104" s="21">
        <v>0.48148149251937872</v>
      </c>
      <c r="P104" s="21">
        <v>0.1666666716337204</v>
      </c>
      <c r="Q104" s="21">
        <v>0.18518517911434171</v>
      </c>
      <c r="R104" s="21">
        <v>0</v>
      </c>
      <c r="S104" s="21">
        <v>2.272727340459824E-2</v>
      </c>
      <c r="T104" s="21">
        <v>0.14772726595401761</v>
      </c>
      <c r="U104" s="21">
        <v>7.9545453190803528E-2</v>
      </c>
      <c r="V104" s="21">
        <v>0.25</v>
      </c>
      <c r="W104" s="21">
        <v>0.5</v>
      </c>
      <c r="Z104" s="71"/>
      <c r="AA104" s="71"/>
      <c r="AB104" s="71"/>
      <c r="AC104" s="71"/>
    </row>
    <row r="105" spans="1:29" s="7" customFormat="1" x14ac:dyDescent="0.45">
      <c r="A105" s="7" t="s">
        <v>394</v>
      </c>
      <c r="B105" s="7" t="str">
        <f>VLOOKUP(C105,'Organisation names'!$B$4:$D$130,3,FALSE)</f>
        <v>Kent and Medway</v>
      </c>
      <c r="C105" s="7" t="s">
        <v>106</v>
      </c>
      <c r="D105" s="7" t="str">
        <f>VLOOKUP(C105,'Organisation names'!$B$4:$D$130,2,FALSE)</f>
        <v>East Kent Hospitals University NHS Foundation Trust</v>
      </c>
      <c r="E105" s="72">
        <v>240</v>
      </c>
      <c r="F105" s="21">
        <v>9.5833331346511841E-2</v>
      </c>
      <c r="G105" s="21">
        <v>0.22499999403953549</v>
      </c>
      <c r="H105" s="21">
        <v>0.36250001192092901</v>
      </c>
      <c r="I105" s="21">
        <v>0.31666666269302368</v>
      </c>
      <c r="J105" s="21">
        <v>5.8823529630899429E-2</v>
      </c>
      <c r="K105" s="21">
        <v>0.22875817120075231</v>
      </c>
      <c r="L105" s="21">
        <v>9.1503269970417023E-2</v>
      </c>
      <c r="M105" s="21">
        <v>0.62091505527496338</v>
      </c>
      <c r="N105" s="21">
        <v>0.3888888955116272</v>
      </c>
      <c r="O105" s="21">
        <v>0.26111111044883728</v>
      </c>
      <c r="P105" s="21">
        <v>0.20555555820465091</v>
      </c>
      <c r="Q105" s="21">
        <v>0.1111111119389534</v>
      </c>
      <c r="R105" s="21">
        <v>3.3333335071802139E-2</v>
      </c>
      <c r="S105" s="21">
        <v>0.19583334028720861</v>
      </c>
      <c r="T105" s="21">
        <v>0.1875</v>
      </c>
      <c r="U105" s="21">
        <v>0.2708333432674408</v>
      </c>
      <c r="V105" s="21">
        <v>0.25416666269302368</v>
      </c>
      <c r="W105" s="21">
        <v>9.1666668653488159E-2</v>
      </c>
      <c r="Z105" s="71"/>
      <c r="AA105" s="71"/>
      <c r="AB105" s="71"/>
      <c r="AC105" s="71"/>
    </row>
    <row r="106" spans="1:29" s="7" customFormat="1" x14ac:dyDescent="0.45">
      <c r="A106" s="7" t="s">
        <v>394</v>
      </c>
      <c r="B106" s="7" t="str">
        <f>VLOOKUP(C106,'Organisation names'!$B$4:$D$130,3,FALSE)</f>
        <v>Northern</v>
      </c>
      <c r="C106" s="7" t="s">
        <v>107</v>
      </c>
      <c r="D106" s="7" t="str">
        <f>VLOOKUP(C106,'Organisation names'!$B$4:$D$130,2,FALSE)</f>
        <v>North Tees and Hartlepool NHS Foundation Trust</v>
      </c>
      <c r="E106" s="72">
        <v>105</v>
      </c>
      <c r="F106" s="21">
        <v>0.18095238506793981</v>
      </c>
      <c r="G106" s="21">
        <v>0.22857142984867099</v>
      </c>
      <c r="H106" s="21">
        <v>0.28571429848670959</v>
      </c>
      <c r="I106" s="21">
        <v>0.30476191639900208</v>
      </c>
      <c r="J106" s="21">
        <v>3.7037037312984467E-2</v>
      </c>
      <c r="K106" s="21">
        <v>6.1728395521640778E-2</v>
      </c>
      <c r="L106" s="21">
        <v>0.14814814925193789</v>
      </c>
      <c r="M106" s="21">
        <v>0.75308644771575928</v>
      </c>
      <c r="N106" s="21">
        <v>0.29213482141494751</v>
      </c>
      <c r="O106" s="21">
        <v>0.34831461310386658</v>
      </c>
      <c r="P106" s="21">
        <v>0.15730337798595431</v>
      </c>
      <c r="Q106" s="21">
        <v>0.15730337798595431</v>
      </c>
      <c r="R106" s="21">
        <v>4.4943820685148239E-2</v>
      </c>
      <c r="S106" s="21">
        <v>0.31428572535514832</v>
      </c>
      <c r="T106" s="21">
        <v>0.25714287161827087</v>
      </c>
      <c r="U106" s="21">
        <v>0.12380952388048171</v>
      </c>
      <c r="V106" s="21">
        <v>0.11428571492433549</v>
      </c>
      <c r="W106" s="21">
        <v>0.190476194024086</v>
      </c>
      <c r="Z106" s="71"/>
      <c r="AA106" s="71"/>
      <c r="AB106" s="71"/>
      <c r="AC106" s="71"/>
    </row>
    <row r="107" spans="1:29" s="7" customFormat="1" x14ac:dyDescent="0.45">
      <c r="A107" s="7" t="s">
        <v>394</v>
      </c>
      <c r="B107" s="7" t="str">
        <f>VLOOKUP(C107,'Organisation names'!$B$4:$D$130,3,FALSE)</f>
        <v>Humber and North Yorkshire</v>
      </c>
      <c r="C107" s="7" t="s">
        <v>108</v>
      </c>
      <c r="D107" s="7" t="str">
        <f>VLOOKUP(C107,'Organisation names'!$B$4:$D$130,2,FALSE)</f>
        <v>Hull University Teaching Hospitals NHS Trust</v>
      </c>
      <c r="E107" s="72">
        <v>221</v>
      </c>
      <c r="F107" s="21">
        <v>0.1357466131448746</v>
      </c>
      <c r="G107" s="21">
        <v>0.2171945720911026</v>
      </c>
      <c r="H107" s="21">
        <v>0.40723982453346252</v>
      </c>
      <c r="I107" s="21">
        <v>0.2398190051317215</v>
      </c>
      <c r="J107" s="21">
        <v>0.1428571492433548</v>
      </c>
      <c r="K107" s="21">
        <v>0.1304347813129425</v>
      </c>
      <c r="L107" s="21">
        <v>6.8322978913784027E-2</v>
      </c>
      <c r="M107" s="21">
        <v>0.65838509798049927</v>
      </c>
      <c r="N107" s="21">
        <v>0.27819550037384028</v>
      </c>
      <c r="O107" s="21">
        <v>0.38345864415168762</v>
      </c>
      <c r="P107" s="21">
        <v>0.1578947305679321</v>
      </c>
      <c r="Q107" s="21">
        <v>0.16541352868080139</v>
      </c>
      <c r="R107" s="21">
        <v>1.503759436309338E-2</v>
      </c>
      <c r="S107" s="21">
        <v>0.28959277272224432</v>
      </c>
      <c r="T107" s="21">
        <v>0.22624434530735019</v>
      </c>
      <c r="U107" s="21">
        <v>0.1583710461854935</v>
      </c>
      <c r="V107" s="21">
        <v>0.167420819401741</v>
      </c>
      <c r="W107" s="21">
        <v>0.1583710461854935</v>
      </c>
      <c r="Z107" s="71"/>
      <c r="AA107" s="71"/>
      <c r="AB107" s="71"/>
      <c r="AC107" s="71"/>
    </row>
    <row r="108" spans="1:29" s="7" customFormat="1" x14ac:dyDescent="0.45">
      <c r="A108" s="7" t="s">
        <v>394</v>
      </c>
      <c r="B108" s="7" t="str">
        <f>VLOOKUP(C108,'Organisation names'!$B$4:$D$130,3,FALSE)</f>
        <v>East Midlands</v>
      </c>
      <c r="C108" s="7" t="s">
        <v>109</v>
      </c>
      <c r="D108" s="7" t="str">
        <f>VLOOKUP(C108,'Organisation names'!$B$4:$D$130,2,FALSE)</f>
        <v>United Lincolnshire Teaching Hospitals NHS Trust</v>
      </c>
      <c r="E108" s="72">
        <v>173</v>
      </c>
      <c r="F108" s="21">
        <v>8.6705200374126434E-2</v>
      </c>
      <c r="G108" s="21">
        <v>0.17919075489044189</v>
      </c>
      <c r="H108" s="21">
        <v>0.36416184902191162</v>
      </c>
      <c r="I108" s="21">
        <v>0.36994218826293951</v>
      </c>
      <c r="J108" s="21">
        <v>7.1999996900558472E-2</v>
      </c>
      <c r="K108" s="21">
        <v>5.6000001728534698E-2</v>
      </c>
      <c r="L108" s="21">
        <v>3.2000001519918442E-2</v>
      </c>
      <c r="M108" s="21">
        <v>0.8399999737739563</v>
      </c>
      <c r="N108" s="21">
        <v>0.21782177686691279</v>
      </c>
      <c r="O108" s="21">
        <v>0.38613861799240112</v>
      </c>
      <c r="P108" s="21">
        <v>0.19801980257034299</v>
      </c>
      <c r="Q108" s="21">
        <v>0.16831682622432709</v>
      </c>
      <c r="R108" s="21">
        <v>2.9702970758080479E-2</v>
      </c>
      <c r="S108" s="21">
        <v>0.19653178751468661</v>
      </c>
      <c r="T108" s="21">
        <v>0.23699422180652621</v>
      </c>
      <c r="U108" s="21">
        <v>0.20231214165687561</v>
      </c>
      <c r="V108" s="21">
        <v>0.20231214165687561</v>
      </c>
      <c r="W108" s="21">
        <v>0.16184970736503601</v>
      </c>
      <c r="Z108" s="71"/>
      <c r="AA108" s="71"/>
      <c r="AB108" s="71"/>
      <c r="AC108" s="71"/>
    </row>
    <row r="109" spans="1:29" s="7" customFormat="1" x14ac:dyDescent="0.45">
      <c r="A109" s="7" t="s">
        <v>394</v>
      </c>
      <c r="B109" s="7" t="str">
        <f>VLOOKUP(C109,'Organisation names'!$B$4:$D$130,3,FALSE)</f>
        <v>East Midlands</v>
      </c>
      <c r="C109" s="7" t="s">
        <v>110</v>
      </c>
      <c r="D109" s="7" t="str">
        <f>VLOOKUP(C109,'Organisation names'!$B$4:$D$130,2,FALSE)</f>
        <v>University Hospitals Of Leicester NHS Trust</v>
      </c>
      <c r="E109" s="72">
        <v>293</v>
      </c>
      <c r="F109" s="21">
        <v>0.13651877641677859</v>
      </c>
      <c r="G109" s="21">
        <v>0.22525596618652341</v>
      </c>
      <c r="H109" s="21">
        <v>0.3993174135684967</v>
      </c>
      <c r="I109" s="21">
        <v>0.23890784382820129</v>
      </c>
      <c r="J109" s="21">
        <v>9.6969693899154663E-2</v>
      </c>
      <c r="K109" s="21">
        <v>0.1575757563114166</v>
      </c>
      <c r="L109" s="21">
        <v>6.0606062412261963E-2</v>
      </c>
      <c r="M109" s="21">
        <v>0.68484848737716675</v>
      </c>
      <c r="N109" s="21">
        <v>0.4166666567325592</v>
      </c>
      <c r="O109" s="21">
        <v>0.5</v>
      </c>
      <c r="P109" s="21">
        <v>0</v>
      </c>
      <c r="Q109" s="21">
        <v>8.3333335816860199E-2</v>
      </c>
      <c r="R109" s="21">
        <v>0</v>
      </c>
      <c r="S109" s="21">
        <v>0.1126279830932617</v>
      </c>
      <c r="T109" s="21">
        <v>0.18430034816265109</v>
      </c>
      <c r="U109" s="21">
        <v>0.15699659287929529</v>
      </c>
      <c r="V109" s="21">
        <v>0.29692831635475159</v>
      </c>
      <c r="W109" s="21">
        <v>0.24914675951004031</v>
      </c>
      <c r="Z109" s="71"/>
      <c r="AA109" s="71"/>
      <c r="AB109" s="71"/>
      <c r="AC109" s="71"/>
    </row>
    <row r="110" spans="1:29" s="7" customFormat="1" x14ac:dyDescent="0.45">
      <c r="A110" s="7" t="s">
        <v>394</v>
      </c>
      <c r="B110" s="7" t="str">
        <f>VLOOKUP(C110,'Organisation names'!$B$4:$D$130,3,FALSE)</f>
        <v>Kent and Medway</v>
      </c>
      <c r="C110" s="7" t="s">
        <v>111</v>
      </c>
      <c r="D110" s="7" t="str">
        <f>VLOOKUP(C110,'Organisation names'!$B$4:$D$130,2,FALSE)</f>
        <v>Maidstone and Tunbridge Wells NHS Trust</v>
      </c>
      <c r="E110" s="72">
        <v>155</v>
      </c>
      <c r="F110" s="21">
        <v>0.1290322542190552</v>
      </c>
      <c r="G110" s="21">
        <v>0.1806451678276062</v>
      </c>
      <c r="H110" s="21">
        <v>0.36774194240570068</v>
      </c>
      <c r="I110" s="21">
        <v>0.32258063554763788</v>
      </c>
      <c r="J110" s="21">
        <v>5.000000074505806E-2</v>
      </c>
      <c r="K110" s="21">
        <v>0.15833333134651181</v>
      </c>
      <c r="L110" s="21">
        <v>0.15000000596046451</v>
      </c>
      <c r="M110" s="21">
        <v>0.64166665077209473</v>
      </c>
      <c r="N110" s="21">
        <v>0.32608696818351751</v>
      </c>
      <c r="O110" s="21">
        <v>0.33695653080940252</v>
      </c>
      <c r="P110" s="21">
        <v>0.1521739065647125</v>
      </c>
      <c r="Q110" s="21">
        <v>0.1630434840917587</v>
      </c>
      <c r="R110" s="21">
        <v>2.1739130839705471E-2</v>
      </c>
      <c r="S110" s="21">
        <v>5.8064516633749008E-2</v>
      </c>
      <c r="T110" s="21">
        <v>0.1419354826211929</v>
      </c>
      <c r="U110" s="21">
        <v>0.15483871102333069</v>
      </c>
      <c r="V110" s="21">
        <v>0.23870967328548429</v>
      </c>
      <c r="W110" s="21">
        <v>0.40645161271095281</v>
      </c>
      <c r="Z110" s="71"/>
      <c r="AA110" s="71"/>
      <c r="AB110" s="71"/>
      <c r="AC110" s="71"/>
    </row>
    <row r="111" spans="1:29" s="7" customFormat="1" x14ac:dyDescent="0.45">
      <c r="A111" s="7" t="s">
        <v>394</v>
      </c>
      <c r="B111" s="7" t="str">
        <f>VLOOKUP(C111,'Organisation names'!$B$4:$D$130,3,FALSE)</f>
        <v>East of England</v>
      </c>
      <c r="C111" s="7" t="s">
        <v>112</v>
      </c>
      <c r="D111" s="7" t="str">
        <f>VLOOKUP(C111,'Organisation names'!$B$4:$D$130,2,FALSE)</f>
        <v>West Hertfordshire Teaching Hospitals NHS Trust</v>
      </c>
      <c r="E111" s="72">
        <v>137</v>
      </c>
      <c r="F111" s="21">
        <v>8.0291971564292908E-2</v>
      </c>
      <c r="G111" s="21">
        <v>0.18978102505207059</v>
      </c>
      <c r="H111" s="21">
        <v>0.31386861205101008</v>
      </c>
      <c r="I111" s="21">
        <v>0.41605839133262629</v>
      </c>
      <c r="J111" s="21">
        <v>8.7301589548587799E-2</v>
      </c>
      <c r="K111" s="21">
        <v>0.1428571492433548</v>
      </c>
      <c r="L111" s="21">
        <v>0.1031746044754982</v>
      </c>
      <c r="M111" s="21">
        <v>0.66666668653488159</v>
      </c>
      <c r="N111" s="21">
        <v>0.40336135029792791</v>
      </c>
      <c r="O111" s="21">
        <v>0.28571429848670959</v>
      </c>
      <c r="P111" s="21">
        <v>0.19327731430530551</v>
      </c>
      <c r="Q111" s="21">
        <v>0.1092436984181404</v>
      </c>
      <c r="R111" s="21">
        <v>8.4033617749810219E-3</v>
      </c>
      <c r="S111" s="21">
        <v>2.1897809579968449E-2</v>
      </c>
      <c r="T111" s="21">
        <v>9.4890512526035309E-2</v>
      </c>
      <c r="U111" s="21">
        <v>0.27737227082252502</v>
      </c>
      <c r="V111" s="21">
        <v>0.21897810697555539</v>
      </c>
      <c r="W111" s="21">
        <v>0.38686132431030268</v>
      </c>
      <c r="Z111" s="71"/>
      <c r="AA111" s="71"/>
      <c r="AB111" s="71"/>
      <c r="AC111" s="71"/>
    </row>
    <row r="112" spans="1:29" s="7" customFormat="1" x14ac:dyDescent="0.45">
      <c r="A112" s="7" t="s">
        <v>394</v>
      </c>
      <c r="B112" s="7" t="str">
        <f>VLOOKUP(C112,'Organisation names'!$B$4:$D$130,3,FALSE)</f>
        <v>East of England</v>
      </c>
      <c r="C112" s="7" t="s">
        <v>113</v>
      </c>
      <c r="D112" s="7" t="str">
        <f>VLOOKUP(C112,'Organisation names'!$B$4:$D$130,2,FALSE)</f>
        <v>East and North Hertfordshire NHS Trust</v>
      </c>
      <c r="E112" s="72">
        <v>102</v>
      </c>
      <c r="F112" s="21">
        <v>7.8431375324726105E-2</v>
      </c>
      <c r="G112" s="21">
        <v>0.19607843458652499</v>
      </c>
      <c r="H112" s="21">
        <v>0.37254902720451349</v>
      </c>
      <c r="I112" s="21">
        <v>0.35294118523597717</v>
      </c>
      <c r="J112" s="21">
        <v>7.9999998211860657E-2</v>
      </c>
      <c r="K112" s="21">
        <v>3.9999999105930328E-2</v>
      </c>
      <c r="L112" s="21">
        <v>3.9999999105930328E-2</v>
      </c>
      <c r="M112" s="21">
        <v>0.8399999737739563</v>
      </c>
      <c r="N112" s="21">
        <v>0.25</v>
      </c>
      <c r="O112" s="21">
        <v>0.125</v>
      </c>
      <c r="P112" s="21">
        <v>0.375</v>
      </c>
      <c r="Q112" s="21">
        <v>0.25</v>
      </c>
      <c r="R112" s="21">
        <v>0</v>
      </c>
      <c r="S112" s="21">
        <v>1.960784383118153E-2</v>
      </c>
      <c r="T112" s="21">
        <v>8.8235296308994293E-2</v>
      </c>
      <c r="U112" s="21">
        <v>0.24509803950786591</v>
      </c>
      <c r="V112" s="21">
        <v>0.25490197539329529</v>
      </c>
      <c r="W112" s="21">
        <v>0.39215686917304993</v>
      </c>
      <c r="Z112" s="71"/>
      <c r="AA112" s="71"/>
      <c r="AB112" s="71"/>
      <c r="AC112" s="71"/>
    </row>
    <row r="113" spans="1:29" s="7" customFormat="1" x14ac:dyDescent="0.45">
      <c r="A113" s="7" t="s">
        <v>394</v>
      </c>
      <c r="B113" s="7" t="str">
        <f>VLOOKUP(C113,'Organisation names'!$B$4:$D$130,3,FALSE)</f>
        <v>Greater Manchester</v>
      </c>
      <c r="C113" s="7" t="s">
        <v>114</v>
      </c>
      <c r="D113" s="7" t="str">
        <f>VLOOKUP(C113,'Organisation names'!$B$4:$D$130,2,FALSE)</f>
        <v>Stockport NHS Foundation Trust</v>
      </c>
      <c r="E113" s="72">
        <v>82</v>
      </c>
      <c r="F113" s="21">
        <v>8.5365854203701019E-2</v>
      </c>
      <c r="G113" s="21">
        <v>0.20731706917285919</v>
      </c>
      <c r="H113" s="21">
        <v>0.41463413834571838</v>
      </c>
      <c r="I113" s="21">
        <v>0.29268291592597961</v>
      </c>
      <c r="J113" s="21">
        <v>8.8235296308994293E-2</v>
      </c>
      <c r="K113" s="21">
        <v>0.13235294818878171</v>
      </c>
      <c r="L113" s="21">
        <v>0.1176470592617989</v>
      </c>
      <c r="M113" s="21">
        <v>0.66176468133926392</v>
      </c>
      <c r="N113" s="21">
        <v>0.10344827920198441</v>
      </c>
      <c r="O113" s="21">
        <v>0.41379311680793762</v>
      </c>
      <c r="P113" s="21">
        <v>0.34482759237289429</v>
      </c>
      <c r="Q113" s="21">
        <v>0.1379310339689255</v>
      </c>
      <c r="R113" s="21">
        <v>0</v>
      </c>
      <c r="S113" s="21">
        <v>0.14634145796298981</v>
      </c>
      <c r="T113" s="21">
        <v>0.20731706917285919</v>
      </c>
      <c r="U113" s="21">
        <v>0.1219512224197388</v>
      </c>
      <c r="V113" s="21">
        <v>0.25609755516052252</v>
      </c>
      <c r="W113" s="21">
        <v>0.26829269528388983</v>
      </c>
      <c r="Z113" s="71"/>
      <c r="AA113" s="71"/>
      <c r="AB113" s="71"/>
      <c r="AC113" s="71"/>
    </row>
    <row r="114" spans="1:29" s="7" customFormat="1" x14ac:dyDescent="0.45">
      <c r="A114" s="7" t="s">
        <v>394</v>
      </c>
      <c r="B114" s="7" t="str">
        <f>VLOOKUP(C114,'Organisation names'!$B$4:$D$130,3,FALSE)</f>
        <v>West Midlands</v>
      </c>
      <c r="C114" s="7" t="s">
        <v>115</v>
      </c>
      <c r="D114" s="7" t="str">
        <f>VLOOKUP(C114,'Organisation names'!$B$4:$D$130,2,FALSE)</f>
        <v>Worcestershire Acute Hospitals NHS Trust</v>
      </c>
      <c r="E114" s="72">
        <v>210</v>
      </c>
      <c r="F114" s="21">
        <v>0.10000000149011611</v>
      </c>
      <c r="G114" s="21">
        <v>0.22380952537059781</v>
      </c>
      <c r="H114" s="21">
        <v>0.34285715222358698</v>
      </c>
      <c r="I114" s="21">
        <v>0.3333333432674408</v>
      </c>
      <c r="J114" s="21">
        <v>0.1145833358168602</v>
      </c>
      <c r="K114" s="21">
        <v>9.375E-2</v>
      </c>
      <c r="L114" s="21">
        <v>0.1041666641831398</v>
      </c>
      <c r="M114" s="21">
        <v>0.6875</v>
      </c>
      <c r="N114" s="21">
        <v>0.46666666865348821</v>
      </c>
      <c r="O114" s="21">
        <v>0.27222222089767462</v>
      </c>
      <c r="P114" s="21">
        <v>0.17777778208255771</v>
      </c>
      <c r="Q114" s="21">
        <v>7.2222225368022919E-2</v>
      </c>
      <c r="R114" s="21">
        <v>1.111111138015985E-2</v>
      </c>
      <c r="S114" s="21">
        <v>8.0952383577823639E-2</v>
      </c>
      <c r="T114" s="21">
        <v>0.15238095819950101</v>
      </c>
      <c r="U114" s="21">
        <v>0.27619048953056341</v>
      </c>
      <c r="V114" s="21">
        <v>0.29523810744285578</v>
      </c>
      <c r="W114" s="21">
        <v>0.19523809850215909</v>
      </c>
      <c r="Z114" s="71"/>
      <c r="AA114" s="71"/>
      <c r="AB114" s="71"/>
      <c r="AC114" s="71"/>
    </row>
    <row r="115" spans="1:29" s="7" customFormat="1" x14ac:dyDescent="0.45">
      <c r="A115" s="7" t="s">
        <v>394</v>
      </c>
      <c r="B115" s="7" t="str">
        <f>VLOOKUP(C115,'Organisation names'!$B$4:$D$130,3,FALSE)</f>
        <v>Cheshire and Merseyside</v>
      </c>
      <c r="C115" s="7" t="s">
        <v>116</v>
      </c>
      <c r="D115" s="7" t="str">
        <f>VLOOKUP(C115,'Organisation names'!$B$4:$D$130,2,FALSE)</f>
        <v>Warrington and Halton Teaching Hospitals NHS Foundation Trust</v>
      </c>
      <c r="E115" s="72">
        <v>59</v>
      </c>
      <c r="F115" s="21">
        <v>5.0847455859184272E-2</v>
      </c>
      <c r="G115" s="21">
        <v>0.1864406764507294</v>
      </c>
      <c r="H115" s="21">
        <v>0.37288135290145868</v>
      </c>
      <c r="I115" s="21">
        <v>0.38983049988746638</v>
      </c>
      <c r="J115" s="21">
        <v>6.5217390656471252E-2</v>
      </c>
      <c r="K115" s="21">
        <v>0.1521739065647125</v>
      </c>
      <c r="L115" s="21">
        <v>0.1086956486105919</v>
      </c>
      <c r="M115" s="21">
        <v>0.67391306161880493</v>
      </c>
      <c r="N115" s="21">
        <v>0.36585366725921631</v>
      </c>
      <c r="O115" s="21">
        <v>0.34146341681480408</v>
      </c>
      <c r="P115" s="21">
        <v>0.26829269528388983</v>
      </c>
      <c r="Q115" s="21">
        <v>2.4390242993831631E-2</v>
      </c>
      <c r="R115" s="21">
        <v>0</v>
      </c>
      <c r="S115" s="21">
        <v>0.30508473515510559</v>
      </c>
      <c r="T115" s="21">
        <v>0.1016949117183685</v>
      </c>
      <c r="U115" s="21">
        <v>1.6949152573943142E-2</v>
      </c>
      <c r="V115" s="21">
        <v>0.32203391194343572</v>
      </c>
      <c r="W115" s="21">
        <v>0.25423729419708252</v>
      </c>
      <c r="Z115" s="71"/>
      <c r="AA115" s="71"/>
      <c r="AB115" s="71"/>
      <c r="AC115" s="71"/>
    </row>
    <row r="116" spans="1:29" s="7" customFormat="1" x14ac:dyDescent="0.45">
      <c r="A116" s="7" t="s">
        <v>394</v>
      </c>
      <c r="B116" s="7" t="str">
        <f>VLOOKUP(C116,'Organisation names'!$B$4:$D$130,3,FALSE)</f>
        <v>West Yorkshire and Harrogate</v>
      </c>
      <c r="C116" s="7" t="s">
        <v>117</v>
      </c>
      <c r="D116" s="7" t="str">
        <f>VLOOKUP(C116,'Organisation names'!$B$4:$D$130,2,FALSE)</f>
        <v>Calderdale and Huddersfield NHS Foundation Trust</v>
      </c>
      <c r="E116" s="72">
        <v>132</v>
      </c>
      <c r="F116" s="21">
        <v>0.10606060922145839</v>
      </c>
      <c r="G116" s="21">
        <v>0.17424242198467249</v>
      </c>
      <c r="H116" s="21">
        <v>0.40151515603065491</v>
      </c>
      <c r="I116" s="21">
        <v>0.31818181276321411</v>
      </c>
      <c r="J116" s="21">
        <v>9.7087375819683075E-2</v>
      </c>
      <c r="K116" s="21">
        <v>0.11650485545396801</v>
      </c>
      <c r="L116" s="21">
        <v>0.1553398072719574</v>
      </c>
      <c r="M116" s="21">
        <v>0.63106793165206909</v>
      </c>
      <c r="N116" s="21">
        <v>0.32222223281860352</v>
      </c>
      <c r="O116" s="21">
        <v>0.3333333432674408</v>
      </c>
      <c r="P116" s="21">
        <v>0.17777778208255771</v>
      </c>
      <c r="Q116" s="21">
        <v>0.13333334028720861</v>
      </c>
      <c r="R116" s="21">
        <v>3.3333335071802139E-2</v>
      </c>
      <c r="S116" s="21">
        <v>0.27272728085517878</v>
      </c>
      <c r="T116" s="21">
        <v>0.17424242198467249</v>
      </c>
      <c r="U116" s="21">
        <v>0.21969696879386899</v>
      </c>
      <c r="V116" s="21">
        <v>0.25</v>
      </c>
      <c r="W116" s="21">
        <v>8.3333335816860199E-2</v>
      </c>
      <c r="Z116" s="71"/>
      <c r="AA116" s="71"/>
      <c r="AB116" s="71"/>
      <c r="AC116" s="71"/>
    </row>
    <row r="117" spans="1:29" s="7" customFormat="1" x14ac:dyDescent="0.45">
      <c r="A117" s="7" t="s">
        <v>394</v>
      </c>
      <c r="B117" s="7" t="str">
        <f>VLOOKUP(C117,'Organisation names'!$B$4:$D$130,3,FALSE)</f>
        <v>East Midlands</v>
      </c>
      <c r="C117" s="7" t="s">
        <v>118</v>
      </c>
      <c r="D117" s="7" t="str">
        <f>VLOOKUP(C117,'Organisation names'!$B$4:$D$130,2,FALSE)</f>
        <v>Nottingham University Hospitals NHS Trust</v>
      </c>
      <c r="E117" s="72">
        <v>357</v>
      </c>
      <c r="F117" s="21">
        <v>0.1624649912118912</v>
      </c>
      <c r="G117" s="21">
        <v>0.24369747936725619</v>
      </c>
      <c r="H117" s="21">
        <v>0.40056023001670837</v>
      </c>
      <c r="I117" s="21">
        <v>0.19327731430530551</v>
      </c>
      <c r="J117" s="21">
        <v>0.18435753881931299</v>
      </c>
      <c r="K117" s="21">
        <v>0.12290503084659581</v>
      </c>
      <c r="L117" s="21">
        <v>0.1117318421602249</v>
      </c>
      <c r="M117" s="21">
        <v>0.58100557327270508</v>
      </c>
      <c r="N117" s="21">
        <v>0.47933885455131531</v>
      </c>
      <c r="O117" s="21">
        <v>0.30578511953353882</v>
      </c>
      <c r="P117" s="21">
        <v>0.1239669397473335</v>
      </c>
      <c r="Q117" s="21">
        <v>8.2644626498222351E-2</v>
      </c>
      <c r="R117" s="21">
        <v>8.2644624635577202E-3</v>
      </c>
      <c r="S117" s="21">
        <v>0.19327731430530551</v>
      </c>
      <c r="T117" s="21">
        <v>0.14845938980579379</v>
      </c>
      <c r="U117" s="21">
        <v>0.18487395346164701</v>
      </c>
      <c r="V117" s="21">
        <v>0.19887955486774439</v>
      </c>
      <c r="W117" s="21">
        <v>0.27450981736183172</v>
      </c>
      <c r="Z117" s="71"/>
      <c r="AA117" s="71"/>
      <c r="AB117" s="71"/>
      <c r="AC117" s="71"/>
    </row>
    <row r="118" spans="1:29" s="7" customFormat="1" x14ac:dyDescent="0.45">
      <c r="A118" s="7" t="s">
        <v>394</v>
      </c>
      <c r="B118" s="7" t="str">
        <f>VLOOKUP(C118,'Organisation names'!$B$4:$D$130,3,FALSE)</f>
        <v>Surrey and Sussex</v>
      </c>
      <c r="C118" s="7" t="s">
        <v>119</v>
      </c>
      <c r="D118" s="7" t="str">
        <f>VLOOKUP(C118,'Organisation names'!$B$4:$D$130,2,FALSE)</f>
        <v>East Sussex Healthcare NHS Trust</v>
      </c>
      <c r="E118" s="72">
        <v>185</v>
      </c>
      <c r="F118" s="21">
        <v>9.189189225435257E-2</v>
      </c>
      <c r="G118" s="21">
        <v>0.18378378450870511</v>
      </c>
      <c r="H118" s="21">
        <v>0.36756756901741028</v>
      </c>
      <c r="I118" s="21">
        <v>0.35675674676895142</v>
      </c>
      <c r="J118" s="21">
        <v>7.4766352772712708E-2</v>
      </c>
      <c r="K118" s="21">
        <v>0.1214953288435936</v>
      </c>
      <c r="L118" s="21">
        <v>0.1962616890668869</v>
      </c>
      <c r="M118" s="21">
        <v>0.60747665166854858</v>
      </c>
      <c r="N118" s="21">
        <v>0.40000000596046448</v>
      </c>
      <c r="O118" s="21">
        <v>0.40000000596046448</v>
      </c>
      <c r="P118" s="21">
        <v>0.20000000298023221</v>
      </c>
      <c r="Q118" s="21">
        <v>0</v>
      </c>
      <c r="R118" s="21">
        <v>0</v>
      </c>
      <c r="S118" s="21">
        <v>0.1459459513425827</v>
      </c>
      <c r="T118" s="21">
        <v>0.19459459185600281</v>
      </c>
      <c r="U118" s="21">
        <v>0.25945946574211121</v>
      </c>
      <c r="V118" s="21">
        <v>0.27567568421363831</v>
      </c>
      <c r="W118" s="21">
        <v>0.1243243217468262</v>
      </c>
      <c r="Z118" s="71"/>
      <c r="AA118" s="71"/>
      <c r="AB118" s="71"/>
      <c r="AC118" s="71"/>
    </row>
    <row r="119" spans="1:29" s="7" customFormat="1" x14ac:dyDescent="0.45">
      <c r="A119" s="7" t="s">
        <v>394</v>
      </c>
      <c r="B119" s="7" t="str">
        <f>VLOOKUP(C119,'Organisation names'!$B$4:$D$130,3,FALSE)</f>
        <v>West Yorkshire and Harrogate</v>
      </c>
      <c r="C119" s="7" t="s">
        <v>120</v>
      </c>
      <c r="D119" s="7" t="str">
        <f>VLOOKUP(C119,'Organisation names'!$B$4:$D$130,2,FALSE)</f>
        <v>Mid Yorkshire Teaching NHS Trust</v>
      </c>
      <c r="E119" s="72">
        <v>164</v>
      </c>
      <c r="F119" s="21">
        <v>0.1097560971975327</v>
      </c>
      <c r="G119" s="21">
        <v>0.2256097495555878</v>
      </c>
      <c r="H119" s="21">
        <v>0.37804877758026117</v>
      </c>
      <c r="I119" s="21">
        <v>0.28658536076545721</v>
      </c>
      <c r="J119" s="21">
        <v>0.1176470592617989</v>
      </c>
      <c r="K119" s="21">
        <v>0.1372549086809158</v>
      </c>
      <c r="L119" s="21">
        <v>0.1176470592617989</v>
      </c>
      <c r="M119" s="21">
        <v>0.62745100259780884</v>
      </c>
      <c r="N119" s="21">
        <v>0.3888888955116272</v>
      </c>
      <c r="O119" s="21">
        <v>0.2638888955116272</v>
      </c>
      <c r="P119" s="21">
        <v>0.1805555522441864</v>
      </c>
      <c r="Q119" s="21">
        <v>0.1388888955116272</v>
      </c>
      <c r="R119" s="21">
        <v>2.777777798473835E-2</v>
      </c>
      <c r="S119" s="21">
        <v>0.25</v>
      </c>
      <c r="T119" s="21">
        <v>0.23780487477779391</v>
      </c>
      <c r="U119" s="21">
        <v>0.2317073196172714</v>
      </c>
      <c r="V119" s="21">
        <v>0.17073170840740201</v>
      </c>
      <c r="W119" s="21">
        <v>0.1097560971975327</v>
      </c>
      <c r="Z119" s="71"/>
      <c r="AA119" s="71"/>
      <c r="AB119" s="71"/>
      <c r="AC119" s="71"/>
    </row>
    <row r="120" spans="1:29" s="7" customFormat="1" x14ac:dyDescent="0.45">
      <c r="A120" s="7" t="s">
        <v>394</v>
      </c>
      <c r="B120" s="7" t="str">
        <f>VLOOKUP(C120,'Organisation names'!$B$4:$D$130,3,FALSE)</f>
        <v>West Midlands</v>
      </c>
      <c r="C120" s="7" t="s">
        <v>121</v>
      </c>
      <c r="D120" s="7" t="str">
        <f>VLOOKUP(C120,'Organisation names'!$B$4:$D$130,2,FALSE)</f>
        <v>Sandwell and West Birmingham Hospitals NHS Trust</v>
      </c>
      <c r="E120" s="72">
        <v>103</v>
      </c>
      <c r="F120" s="21">
        <v>0.1553398072719574</v>
      </c>
      <c r="G120" s="21">
        <v>0.19417475163936609</v>
      </c>
      <c r="H120" s="21">
        <v>0.34951457381248469</v>
      </c>
      <c r="I120" s="21">
        <v>0.30097088217735291</v>
      </c>
      <c r="J120" s="21">
        <v>0.20253165066242221</v>
      </c>
      <c r="K120" s="21">
        <v>0.15189872682094571</v>
      </c>
      <c r="L120" s="21">
        <v>0.1392405033111572</v>
      </c>
      <c r="M120" s="21">
        <v>0.50632911920547485</v>
      </c>
      <c r="N120" s="21">
        <v>0.1578947305679321</v>
      </c>
      <c r="O120" s="21">
        <v>0.22807016968727109</v>
      </c>
      <c r="P120" s="21">
        <v>0.26315790414810181</v>
      </c>
      <c r="Q120" s="21">
        <v>0.29824560880661011</v>
      </c>
      <c r="R120" s="21">
        <v>5.2631579339504242E-2</v>
      </c>
      <c r="S120" s="21">
        <v>0.69902914762496948</v>
      </c>
      <c r="T120" s="21">
        <v>0.1359223276376724</v>
      </c>
      <c r="U120" s="21">
        <v>0.12621359527111051</v>
      </c>
      <c r="V120" s="21">
        <v>2.9126213863492009E-2</v>
      </c>
      <c r="W120" s="21">
        <v>9.7087379544973373E-3</v>
      </c>
      <c r="Z120" s="71"/>
      <c r="AA120" s="71"/>
      <c r="AB120" s="71"/>
      <c r="AC120" s="71"/>
    </row>
    <row r="121" spans="1:29" s="7" customFormat="1" x14ac:dyDescent="0.45">
      <c r="A121" s="7" t="s">
        <v>394</v>
      </c>
      <c r="B121" s="7" t="str">
        <f>VLOOKUP(C121,'Organisation names'!$B$4:$D$130,3,FALSE)</f>
        <v>Lancashire and South Cumbria</v>
      </c>
      <c r="C121" s="7" t="s">
        <v>122</v>
      </c>
      <c r="D121" s="7" t="str">
        <f>VLOOKUP(C121,'Organisation names'!$B$4:$D$130,2,FALSE)</f>
        <v>Blackpool Teaching Hospitals NHS Foundation Trust</v>
      </c>
      <c r="E121" s="72">
        <v>89</v>
      </c>
      <c r="F121" s="21">
        <v>0.1011235937476158</v>
      </c>
      <c r="G121" s="21">
        <v>0.28089886903762817</v>
      </c>
      <c r="H121" s="21">
        <v>0.38202247023582458</v>
      </c>
      <c r="I121" s="21">
        <v>0.2359550595283508</v>
      </c>
      <c r="J121" s="21">
        <v>1.369863003492355E-2</v>
      </c>
      <c r="K121" s="21">
        <v>9.5890410244464874E-2</v>
      </c>
      <c r="L121" s="21">
        <v>9.5890410244464874E-2</v>
      </c>
      <c r="M121" s="21">
        <v>0.79452055692672729</v>
      </c>
      <c r="N121" s="21">
        <v>0.36538460850715643</v>
      </c>
      <c r="O121" s="21">
        <v>0.25</v>
      </c>
      <c r="P121" s="21">
        <v>0.2115384638309479</v>
      </c>
      <c r="Q121" s="21">
        <v>0.1346153914928436</v>
      </c>
      <c r="R121" s="21">
        <v>3.8461539894342422E-2</v>
      </c>
      <c r="S121" s="21">
        <v>0.2359550595283508</v>
      </c>
      <c r="T121" s="21">
        <v>0.24719101190567019</v>
      </c>
      <c r="U121" s="21">
        <v>0.1235955059528351</v>
      </c>
      <c r="V121" s="21">
        <v>0.26966291666030878</v>
      </c>
      <c r="W121" s="21">
        <v>0.1235955059528351</v>
      </c>
      <c r="Z121" s="71"/>
      <c r="AA121" s="71"/>
      <c r="AB121" s="71"/>
      <c r="AC121" s="71"/>
    </row>
    <row r="122" spans="1:29" s="7" customFormat="1" x14ac:dyDescent="0.45">
      <c r="A122" s="7" t="s">
        <v>394</v>
      </c>
      <c r="B122" s="7" t="str">
        <f>VLOOKUP(C122,'Organisation names'!$B$4:$D$130,3,FALSE)</f>
        <v>Lancashire and South Cumbria</v>
      </c>
      <c r="C122" s="7" t="s">
        <v>123</v>
      </c>
      <c r="D122" s="7" t="str">
        <f>VLOOKUP(C122,'Organisation names'!$B$4:$D$130,2,FALSE)</f>
        <v>Lancashire Teaching Hospitals NHS Foundation Trust</v>
      </c>
      <c r="E122" s="72">
        <v>95</v>
      </c>
      <c r="F122" s="21">
        <v>0.1052631586790085</v>
      </c>
      <c r="G122" s="21">
        <v>0.2315789461135864</v>
      </c>
      <c r="H122" s="21">
        <v>0.34736841917037958</v>
      </c>
      <c r="I122" s="21">
        <v>0.31578946113586431</v>
      </c>
      <c r="J122" s="21">
        <v>2.5316456332802769E-2</v>
      </c>
      <c r="K122" s="21">
        <v>0.1012658253312111</v>
      </c>
      <c r="L122" s="21">
        <v>0.15189872682094571</v>
      </c>
      <c r="M122" s="21">
        <v>0.72151899337768555</v>
      </c>
      <c r="N122" s="21">
        <v>0.32926830649375921</v>
      </c>
      <c r="O122" s="21">
        <v>0.34146341681480408</v>
      </c>
      <c r="P122" s="21">
        <v>9.7560971975326538E-2</v>
      </c>
      <c r="Q122" s="21">
        <v>0.1585365831851959</v>
      </c>
      <c r="R122" s="21">
        <v>7.3170728981494904E-2</v>
      </c>
      <c r="S122" s="21">
        <v>0.12631578743457789</v>
      </c>
      <c r="T122" s="21">
        <v>0.2210526317358017</v>
      </c>
      <c r="U122" s="21">
        <v>0.12631578743457789</v>
      </c>
      <c r="V122" s="21">
        <v>0.20000000298023221</v>
      </c>
      <c r="W122" s="21">
        <v>0.32631579041481018</v>
      </c>
      <c r="Z122" s="71"/>
      <c r="AA122" s="71"/>
      <c r="AB122" s="71"/>
      <c r="AC122" s="71"/>
    </row>
    <row r="123" spans="1:29" s="7" customFormat="1" x14ac:dyDescent="0.45">
      <c r="A123" s="7" t="s">
        <v>394</v>
      </c>
      <c r="B123" s="7" t="str">
        <f>VLOOKUP(C123,'Organisation names'!$B$4:$D$130,3,FALSE)</f>
        <v>Northern</v>
      </c>
      <c r="C123" s="7" t="s">
        <v>124</v>
      </c>
      <c r="D123" s="7" t="str">
        <f>VLOOKUP(C123,'Organisation names'!$B$4:$D$130,2,FALSE)</f>
        <v>County Durham and Darlington NHS Foundation Trust</v>
      </c>
      <c r="E123" s="72">
        <v>163</v>
      </c>
      <c r="F123" s="21">
        <v>8.5889570415019989E-2</v>
      </c>
      <c r="G123" s="21">
        <v>0.19631901383399961</v>
      </c>
      <c r="H123" s="21">
        <v>0.34355828166008001</v>
      </c>
      <c r="I123" s="21">
        <v>0.37423312664031982</v>
      </c>
      <c r="J123" s="21">
        <v>6.0606062412261963E-2</v>
      </c>
      <c r="K123" s="21">
        <v>9.0909093618392944E-2</v>
      </c>
      <c r="L123" s="21">
        <v>4.0404040366411209E-2</v>
      </c>
      <c r="M123" s="21">
        <v>0.80808079242706299</v>
      </c>
      <c r="N123" s="21">
        <v>0.2421875</v>
      </c>
      <c r="O123" s="21">
        <v>0.3046875</v>
      </c>
      <c r="P123" s="21">
        <v>0.25</v>
      </c>
      <c r="Q123" s="21">
        <v>0.1796875</v>
      </c>
      <c r="R123" s="21">
        <v>2.34375E-2</v>
      </c>
      <c r="S123" s="21">
        <v>0.29447853565216059</v>
      </c>
      <c r="T123" s="21">
        <v>0.31901839375495911</v>
      </c>
      <c r="U123" s="21">
        <v>0.15950919687747961</v>
      </c>
      <c r="V123" s="21">
        <v>0.1104294508695602</v>
      </c>
      <c r="W123" s="21">
        <v>0.1165644153952599</v>
      </c>
      <c r="Z123" s="71"/>
      <c r="AA123" s="71"/>
      <c r="AB123" s="71"/>
      <c r="AC123" s="71"/>
    </row>
    <row r="124" spans="1:29" s="7" customFormat="1" x14ac:dyDescent="0.45">
      <c r="A124" s="7" t="s">
        <v>394</v>
      </c>
      <c r="B124" s="7" t="str">
        <f>VLOOKUP(C124,'Organisation names'!$B$4:$D$130,3,FALSE)</f>
        <v>Thames Valley</v>
      </c>
      <c r="C124" s="7" t="s">
        <v>125</v>
      </c>
      <c r="D124" s="7" t="str">
        <f>VLOOKUP(C124,'Organisation names'!$B$4:$D$130,2,FALSE)</f>
        <v>Buckinghamshire Healthcare NHS Trust</v>
      </c>
      <c r="E124" s="72">
        <v>97</v>
      </c>
      <c r="F124" s="21">
        <v>6.1855670064687729E-2</v>
      </c>
      <c r="G124" s="21">
        <v>0.18556700646877289</v>
      </c>
      <c r="H124" s="21">
        <v>0.36082473397254938</v>
      </c>
      <c r="I124" s="21">
        <v>0.39175257086753851</v>
      </c>
      <c r="J124" s="21">
        <v>3.7735849618911743E-2</v>
      </c>
      <c r="K124" s="21">
        <v>7.5471699237823486E-2</v>
      </c>
      <c r="L124" s="21">
        <v>0.150943398475647</v>
      </c>
      <c r="M124" s="21">
        <v>0.73584908246994019</v>
      </c>
      <c r="N124" s="21">
        <v>0.22580644488334661</v>
      </c>
      <c r="O124" s="21">
        <v>0.35483869910240168</v>
      </c>
      <c r="P124" s="21">
        <v>0.38709676265716553</v>
      </c>
      <c r="Q124" s="21">
        <v>3.2258063554763787E-2</v>
      </c>
      <c r="R124" s="21">
        <v>0</v>
      </c>
      <c r="S124" s="21">
        <v>0</v>
      </c>
      <c r="T124" s="21">
        <v>0.1030927821993828</v>
      </c>
      <c r="U124" s="21">
        <v>0.1340206116437912</v>
      </c>
      <c r="V124" s="21">
        <v>0.2680412232875824</v>
      </c>
      <c r="W124" s="21">
        <v>0.49484536051750178</v>
      </c>
      <c r="Z124" s="71"/>
      <c r="AA124" s="71"/>
      <c r="AB124" s="71"/>
      <c r="AC124" s="71"/>
    </row>
    <row r="125" spans="1:29" s="7" customFormat="1" x14ac:dyDescent="0.45">
      <c r="A125" s="7" t="s">
        <v>394</v>
      </c>
      <c r="B125" s="7" t="str">
        <f>VLOOKUP(C125,'Organisation names'!$B$4:$D$130,3,FALSE)</f>
        <v>Lancashire and South Cumbria</v>
      </c>
      <c r="C125" s="7" t="s">
        <v>126</v>
      </c>
      <c r="D125" s="7" t="str">
        <f>VLOOKUP(C125,'Organisation names'!$B$4:$D$130,2,FALSE)</f>
        <v>East Lancashire Hospitals NHS Trust</v>
      </c>
      <c r="E125" s="72">
        <v>178</v>
      </c>
      <c r="F125" s="21">
        <v>0.16853933036327359</v>
      </c>
      <c r="G125" s="21">
        <v>0.29213482141494751</v>
      </c>
      <c r="H125" s="21">
        <v>0.38202247023582458</v>
      </c>
      <c r="I125" s="21">
        <v>0.15730337798595431</v>
      </c>
      <c r="J125" s="21">
        <v>5.517241358757019E-2</v>
      </c>
      <c r="K125" s="21">
        <v>0.20689655840396881</v>
      </c>
      <c r="L125" s="21">
        <v>0.20000000298023221</v>
      </c>
      <c r="M125" s="21">
        <v>0.53793102502822876</v>
      </c>
      <c r="N125" s="21">
        <v>0.40000000596046448</v>
      </c>
      <c r="O125" s="21">
        <v>0.3153846263885498</v>
      </c>
      <c r="P125" s="21">
        <v>0.17692308127880099</v>
      </c>
      <c r="Q125" s="21">
        <v>0.1076923087239265</v>
      </c>
      <c r="R125" s="21">
        <v>0</v>
      </c>
      <c r="S125" s="21">
        <v>0.35955056548118591</v>
      </c>
      <c r="T125" s="21">
        <v>0.16853933036327359</v>
      </c>
      <c r="U125" s="21">
        <v>0.1235955059528351</v>
      </c>
      <c r="V125" s="21">
        <v>0.2191011309623718</v>
      </c>
      <c r="W125" s="21">
        <v>0.12921348214149481</v>
      </c>
      <c r="Z125" s="71"/>
      <c r="AA125" s="71"/>
      <c r="AB125" s="71"/>
      <c r="AC125" s="71"/>
    </row>
    <row r="126" spans="1:29" s="7" customFormat="1" x14ac:dyDescent="0.45">
      <c r="A126" s="7" t="s">
        <v>394</v>
      </c>
      <c r="B126" s="7" t="str">
        <f>VLOOKUP(C126,'Organisation names'!$B$4:$D$130,3,FALSE)</f>
        <v>West Midlands</v>
      </c>
      <c r="C126" s="7" t="s">
        <v>127</v>
      </c>
      <c r="D126" s="7" t="str">
        <f>VLOOKUP(C126,'Organisation names'!$B$4:$D$130,2,FALSE)</f>
        <v>The Shrewsbury and Telford Hospital NHS Trust</v>
      </c>
      <c r="E126" s="72">
        <v>119</v>
      </c>
      <c r="F126" s="21">
        <v>7.5630255043506622E-2</v>
      </c>
      <c r="G126" s="21">
        <v>0.18487395346164701</v>
      </c>
      <c r="H126" s="21">
        <v>0.39495798945426941</v>
      </c>
      <c r="I126" s="21">
        <v>0.34453782439231873</v>
      </c>
      <c r="J126" s="21">
        <v>9.0000003576278687E-2</v>
      </c>
      <c r="K126" s="21">
        <v>0.12999999523162839</v>
      </c>
      <c r="L126" s="21">
        <v>0.15000000596046451</v>
      </c>
      <c r="M126" s="21">
        <v>0.62999999523162842</v>
      </c>
      <c r="N126" s="21">
        <v>0.40776699781417852</v>
      </c>
      <c r="O126" s="21">
        <v>0.32038834691047668</v>
      </c>
      <c r="P126" s="21">
        <v>0.1359223276376724</v>
      </c>
      <c r="Q126" s="21">
        <v>0.11650485545396801</v>
      </c>
      <c r="R126" s="21">
        <v>1.9417475908994671E-2</v>
      </c>
      <c r="S126" s="21">
        <v>8.403361588716507E-2</v>
      </c>
      <c r="T126" s="21">
        <v>0.19327731430530551</v>
      </c>
      <c r="U126" s="21">
        <v>0.21848739683628079</v>
      </c>
      <c r="V126" s="21">
        <v>0.33613446354866028</v>
      </c>
      <c r="W126" s="21">
        <v>0.16806723177433011</v>
      </c>
      <c r="Z126" s="71"/>
      <c r="AA126" s="71"/>
      <c r="AB126" s="71"/>
      <c r="AC126" s="71"/>
    </row>
    <row r="127" spans="1:29" s="7" customFormat="1" x14ac:dyDescent="0.45">
      <c r="A127" s="7" t="s">
        <v>394</v>
      </c>
      <c r="B127" s="7" t="str">
        <f>VLOOKUP(C127,'Organisation names'!$B$4:$D$130,3,FALSE)</f>
        <v>RM Partners</v>
      </c>
      <c r="C127" s="7" t="s">
        <v>128</v>
      </c>
      <c r="D127" s="7" t="str">
        <f>VLOOKUP(C127,'Organisation names'!$B$4:$D$130,2,FALSE)</f>
        <v>Imperial College Healthcare NHS Trust</v>
      </c>
      <c r="E127" s="72">
        <v>203</v>
      </c>
      <c r="F127" s="21">
        <v>0.23152709007263181</v>
      </c>
      <c r="G127" s="21">
        <v>0.20197044312953949</v>
      </c>
      <c r="H127" s="21">
        <v>0.34975370764732361</v>
      </c>
      <c r="I127" s="21">
        <v>0.21674877405166629</v>
      </c>
      <c r="J127" s="21">
        <v>0.1081081107258797</v>
      </c>
      <c r="K127" s="21">
        <v>0.13513512909412381</v>
      </c>
      <c r="L127" s="21">
        <v>0.27927929162979132</v>
      </c>
      <c r="M127" s="21">
        <v>0.47747749090194702</v>
      </c>
      <c r="N127" s="21">
        <v>0.51818180084228516</v>
      </c>
      <c r="O127" s="21">
        <v>0.33636364340782171</v>
      </c>
      <c r="P127" s="21">
        <v>8.1818178296089172E-2</v>
      </c>
      <c r="Q127" s="21">
        <v>6.3636362552642822E-2</v>
      </c>
      <c r="R127" s="21">
        <v>0</v>
      </c>
      <c r="S127" s="21">
        <v>0.17241379618644709</v>
      </c>
      <c r="T127" s="21">
        <v>0.27093595266342158</v>
      </c>
      <c r="U127" s="21">
        <v>0.21674877405166629</v>
      </c>
      <c r="V127" s="21">
        <v>0.18226601183414459</v>
      </c>
      <c r="W127" s="21">
        <v>0.1576354652643204</v>
      </c>
      <c r="Z127" s="71"/>
      <c r="AA127" s="71"/>
      <c r="AB127" s="71"/>
      <c r="AC127" s="71"/>
    </row>
    <row r="128" spans="1:29" s="7" customFormat="1" x14ac:dyDescent="0.45">
      <c r="A128" s="7" t="s">
        <v>394</v>
      </c>
      <c r="B128" s="7" t="str">
        <f>VLOOKUP(C128,'Organisation names'!$B$4:$D$130,3,FALSE)</f>
        <v>Surrey and Sussex</v>
      </c>
      <c r="C128" s="7" t="s">
        <v>129</v>
      </c>
      <c r="D128" s="7" t="str">
        <f>VLOOKUP(C128,'Organisation names'!$B$4:$D$130,2,FALSE)</f>
        <v>University Hospitals Sussex NHS Foundation Trust</v>
      </c>
      <c r="E128" s="72">
        <v>327</v>
      </c>
      <c r="F128" s="21">
        <v>0.1192660555243492</v>
      </c>
      <c r="G128" s="21">
        <v>0.18042813241481781</v>
      </c>
      <c r="H128" s="21">
        <v>0.36697247624397278</v>
      </c>
      <c r="I128" s="21">
        <v>0.3333333432674408</v>
      </c>
      <c r="J128" s="21">
        <v>0.1048034951090813</v>
      </c>
      <c r="K128" s="21">
        <v>8.7336242198944092E-2</v>
      </c>
      <c r="L128" s="21">
        <v>0.139737993478775</v>
      </c>
      <c r="M128" s="21">
        <v>0.66812229156494141</v>
      </c>
      <c r="N128" s="21">
        <v>0.35465115308761602</v>
      </c>
      <c r="O128" s="21">
        <v>0.30232557654380798</v>
      </c>
      <c r="P128" s="21">
        <v>0.2093023210763931</v>
      </c>
      <c r="Q128" s="21">
        <v>0.1279069781303406</v>
      </c>
      <c r="R128" s="21">
        <v>5.8139534667134276E-3</v>
      </c>
      <c r="S128" s="21">
        <v>8.2568809390068054E-2</v>
      </c>
      <c r="T128" s="21">
        <v>0.1192660555243492</v>
      </c>
      <c r="U128" s="21">
        <v>0.27828747034072882</v>
      </c>
      <c r="V128" s="21">
        <v>0.29663607478141779</v>
      </c>
      <c r="W128" s="21">
        <v>0.2232415974140167</v>
      </c>
      <c r="Z128" s="71"/>
      <c r="AA128" s="71"/>
      <c r="AB128" s="71"/>
      <c r="AC128" s="71"/>
    </row>
    <row r="129" spans="2:23" s="10" customFormat="1" x14ac:dyDescent="0.45">
      <c r="F129" s="11"/>
      <c r="G129" s="11"/>
      <c r="H129" s="11"/>
      <c r="I129" s="11"/>
      <c r="J129" s="11"/>
      <c r="K129" s="11"/>
      <c r="L129" s="11"/>
      <c r="M129" s="11"/>
      <c r="N129" s="11"/>
      <c r="O129" s="11"/>
      <c r="P129" s="11"/>
      <c r="Q129" s="11"/>
      <c r="R129" s="11"/>
      <c r="S129" s="11"/>
      <c r="T129" s="11"/>
      <c r="U129" s="11"/>
      <c r="V129" s="11"/>
      <c r="W129" s="11"/>
    </row>
    <row r="130" spans="2:23" s="7" customFormat="1" x14ac:dyDescent="0.45">
      <c r="B130" s="54" t="s">
        <v>279</v>
      </c>
      <c r="C130" s="54" t="s">
        <v>280</v>
      </c>
    </row>
    <row r="131" spans="2:23" s="7" customFormat="1" x14ac:dyDescent="0.45">
      <c r="B131" s="54" t="s">
        <v>135</v>
      </c>
      <c r="C131" s="54" t="s">
        <v>662</v>
      </c>
    </row>
    <row r="132" spans="2:23" s="7" customFormat="1" x14ac:dyDescent="0.45">
      <c r="C132" s="16"/>
    </row>
    <row r="133" spans="2:23" s="7" customFormat="1" x14ac:dyDescent="0.45"/>
    <row r="134" spans="2:23" s="7" customFormat="1" x14ac:dyDescent="0.45"/>
    <row r="135" spans="2:23" s="7" customFormat="1" x14ac:dyDescent="0.45"/>
    <row r="136" spans="2:23" s="7" customFormat="1" x14ac:dyDescent="0.45"/>
    <row r="137" spans="2:23" s="7" customFormat="1" x14ac:dyDescent="0.45"/>
    <row r="138" spans="2:23" s="7" customFormat="1" x14ac:dyDescent="0.45"/>
    <row r="139" spans="2:23" s="7" customFormat="1" x14ac:dyDescent="0.45"/>
    <row r="140" spans="2:23" s="7" customFormat="1" x14ac:dyDescent="0.45"/>
  </sheetData>
  <mergeCells count="5">
    <mergeCell ref="B9:D9"/>
    <mergeCell ref="J7:M7"/>
    <mergeCell ref="N7:R7"/>
    <mergeCell ref="F7:I7"/>
    <mergeCell ref="S7:W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36"/>
  <sheetViews>
    <sheetView zoomScaleNormal="100" workbookViewId="0">
      <selection activeCell="C10" sqref="C10"/>
    </sheetView>
  </sheetViews>
  <sheetFormatPr defaultRowHeight="14.25" x14ac:dyDescent="0.45"/>
  <cols>
    <col min="1" max="1" width="11.73046875" customWidth="1"/>
    <col min="2" max="2" width="38.73046875" customWidth="1"/>
    <col min="3" max="3" width="17.73046875" customWidth="1"/>
    <col min="4" max="7" width="8.73046875" customWidth="1"/>
    <col min="8" max="16" width="10.265625" customWidth="1"/>
  </cols>
  <sheetData>
    <row r="1" spans="1:21" x14ac:dyDescent="0.45">
      <c r="A1" s="42"/>
    </row>
    <row r="2" spans="1:21" ht="21" x14ac:dyDescent="0.65">
      <c r="A2" s="1" t="s">
        <v>692</v>
      </c>
    </row>
    <row r="3" spans="1:21" x14ac:dyDescent="0.45">
      <c r="B3" s="7" t="s">
        <v>381</v>
      </c>
    </row>
    <row r="4" spans="1:21" x14ac:dyDescent="0.45">
      <c r="B4" s="7" t="s">
        <v>396</v>
      </c>
    </row>
    <row r="5" spans="1:21" x14ac:dyDescent="0.45">
      <c r="B5" s="7" t="s">
        <v>290</v>
      </c>
    </row>
    <row r="6" spans="1:21" x14ac:dyDescent="0.45">
      <c r="B6" s="7" t="s">
        <v>661</v>
      </c>
    </row>
    <row r="8" spans="1:21" x14ac:dyDescent="0.45">
      <c r="A8" s="7"/>
      <c r="B8" s="7"/>
      <c r="C8" s="7"/>
      <c r="D8" s="98" t="s">
        <v>278</v>
      </c>
      <c r="E8" s="98"/>
      <c r="F8" s="98"/>
      <c r="G8" s="98"/>
      <c r="H8" s="98" t="s">
        <v>304</v>
      </c>
      <c r="I8" s="98"/>
      <c r="J8" s="98"/>
      <c r="K8" s="98"/>
      <c r="L8" s="98" t="s">
        <v>305</v>
      </c>
      <c r="M8" s="98"/>
      <c r="N8" s="98"/>
      <c r="O8" s="98"/>
      <c r="P8" s="98"/>
      <c r="Q8" s="98" t="s">
        <v>273</v>
      </c>
      <c r="R8" s="98"/>
      <c r="S8" s="98"/>
      <c r="T8" s="98"/>
      <c r="U8" s="98"/>
    </row>
    <row r="9" spans="1:21" s="2" customFormat="1" ht="42.75" x14ac:dyDescent="0.45">
      <c r="A9" s="3" t="s">
        <v>1</v>
      </c>
      <c r="B9" s="3" t="s">
        <v>0</v>
      </c>
      <c r="C9" s="22" t="s">
        <v>131</v>
      </c>
      <c r="D9" s="23" t="s">
        <v>269</v>
      </c>
      <c r="E9" s="23" t="s">
        <v>270</v>
      </c>
      <c r="F9" s="23" t="s">
        <v>271</v>
      </c>
      <c r="G9" s="23" t="s">
        <v>272</v>
      </c>
      <c r="H9" s="24" t="s">
        <v>265</v>
      </c>
      <c r="I9" s="24" t="s">
        <v>266</v>
      </c>
      <c r="J9" s="24" t="s">
        <v>267</v>
      </c>
      <c r="K9" s="24" t="s">
        <v>268</v>
      </c>
      <c r="L9" s="23" t="s">
        <v>276</v>
      </c>
      <c r="M9" s="23">
        <v>1</v>
      </c>
      <c r="N9" s="23">
        <v>2</v>
      </c>
      <c r="O9" s="23">
        <v>3</v>
      </c>
      <c r="P9" s="23" t="s">
        <v>277</v>
      </c>
      <c r="Q9" s="23" t="s">
        <v>274</v>
      </c>
      <c r="R9" s="23">
        <v>2</v>
      </c>
      <c r="S9" s="23">
        <v>3</v>
      </c>
      <c r="T9" s="23">
        <v>4</v>
      </c>
      <c r="U9" s="23" t="s">
        <v>275</v>
      </c>
    </row>
    <row r="10" spans="1:21" s="8" customFormat="1" x14ac:dyDescent="0.45">
      <c r="A10" s="8" t="s">
        <v>394</v>
      </c>
      <c r="B10" s="25" t="s">
        <v>4</v>
      </c>
      <c r="C10" s="106">
        <v>17328</v>
      </c>
      <c r="D10" s="59">
        <v>0.12875115420129299</v>
      </c>
      <c r="E10" s="59">
        <v>0.21870000000000001</v>
      </c>
      <c r="F10" s="59">
        <v>0.35210000000000002</v>
      </c>
      <c r="G10" s="59">
        <v>0.3004</v>
      </c>
      <c r="H10" s="73">
        <v>0.11650000000000001</v>
      </c>
      <c r="I10" s="73">
        <v>0.1255</v>
      </c>
      <c r="J10" s="73">
        <v>0.13930000000000001</v>
      </c>
      <c r="K10" s="73">
        <v>0.61880000000000002</v>
      </c>
      <c r="L10" s="73">
        <v>0.35630000000000001</v>
      </c>
      <c r="M10" s="73">
        <v>0.32319999999999999</v>
      </c>
      <c r="N10" s="73">
        <v>0.17380000000000001</v>
      </c>
      <c r="O10" s="73">
        <v>0.12089999999999999</v>
      </c>
      <c r="P10" s="73">
        <v>2.58E-2</v>
      </c>
      <c r="Q10" s="73">
        <v>0.16930000000000001</v>
      </c>
      <c r="R10" s="73">
        <v>0.18690000000000001</v>
      </c>
      <c r="S10" s="73">
        <v>0.20619999999999999</v>
      </c>
      <c r="T10" s="73">
        <v>0.22070000000000001</v>
      </c>
      <c r="U10" s="73">
        <v>0.217</v>
      </c>
    </row>
    <row r="11" spans="1:21" s="7" customFormat="1" x14ac:dyDescent="0.45">
      <c r="A11" s="7" t="s">
        <v>394</v>
      </c>
      <c r="B11" s="7" t="s">
        <v>137</v>
      </c>
      <c r="C11" s="72">
        <v>794</v>
      </c>
      <c r="D11" s="21">
        <v>0.112090677022934</v>
      </c>
      <c r="E11" s="21">
        <v>0.21536524593830109</v>
      </c>
      <c r="F11" s="21">
        <v>0.37027707695960999</v>
      </c>
      <c r="G11" s="21">
        <v>0.30226701498031622</v>
      </c>
      <c r="H11" s="21">
        <v>9.5541402697563171E-2</v>
      </c>
      <c r="I11" s="21">
        <v>0.1242038235068321</v>
      </c>
      <c r="J11" s="21">
        <v>0.16401274502277369</v>
      </c>
      <c r="K11" s="21">
        <v>0.61624205112457275</v>
      </c>
      <c r="L11" s="21">
        <v>0.34521880745887762</v>
      </c>
      <c r="M11" s="21">
        <v>0.35332253575325012</v>
      </c>
      <c r="N11" s="21">
        <v>0.18476499617099759</v>
      </c>
      <c r="O11" s="21">
        <v>0.11183144152164461</v>
      </c>
      <c r="P11" s="21">
        <v>4.8622367903590202E-3</v>
      </c>
      <c r="Q11" s="21">
        <v>0.33627203106880188</v>
      </c>
      <c r="R11" s="21">
        <v>0.14483627676963809</v>
      </c>
      <c r="S11" s="21">
        <v>0.14231738448143011</v>
      </c>
      <c r="T11" s="21">
        <v>0.17254407703876501</v>
      </c>
      <c r="U11" s="21">
        <v>0.20403023064136511</v>
      </c>
    </row>
    <row r="12" spans="1:21" s="7" customFormat="1" x14ac:dyDescent="0.45">
      <c r="A12" s="7" t="s">
        <v>394</v>
      </c>
      <c r="B12" s="7" t="s">
        <v>138</v>
      </c>
      <c r="C12" s="72">
        <v>1424</v>
      </c>
      <c r="D12" s="21">
        <v>0.12148876488208769</v>
      </c>
      <c r="E12" s="21">
        <v>0.2233146131038666</v>
      </c>
      <c r="F12" s="21">
        <v>0.37570226192474371</v>
      </c>
      <c r="G12" s="21">
        <v>0.27949437499046331</v>
      </c>
      <c r="H12" s="21">
        <v>0.1098527759313583</v>
      </c>
      <c r="I12" s="21">
        <v>0.11664779484272</v>
      </c>
      <c r="J12" s="21">
        <v>9.3997731804847717E-2</v>
      </c>
      <c r="K12" s="21">
        <v>0.67950171232223511</v>
      </c>
      <c r="L12" s="21">
        <v>0.40365681052207952</v>
      </c>
      <c r="M12" s="21">
        <v>0.29817157983779907</v>
      </c>
      <c r="N12" s="21">
        <v>0.15893107652664179</v>
      </c>
      <c r="O12" s="21">
        <v>0.1237693354487419</v>
      </c>
      <c r="P12" s="21">
        <v>1.5471166931092741E-2</v>
      </c>
      <c r="Q12" s="21">
        <v>0.15800562500953669</v>
      </c>
      <c r="R12" s="21">
        <v>0.1811797767877579</v>
      </c>
      <c r="S12" s="21">
        <v>0.1811797767877579</v>
      </c>
      <c r="T12" s="21">
        <v>0.2352528125047684</v>
      </c>
      <c r="U12" s="21">
        <v>0.2443820238113403</v>
      </c>
    </row>
    <row r="13" spans="1:21" s="7" customFormat="1" x14ac:dyDescent="0.45">
      <c r="A13" s="7" t="s">
        <v>394</v>
      </c>
      <c r="B13" s="7" t="s">
        <v>289</v>
      </c>
      <c r="C13" s="72">
        <v>1968</v>
      </c>
      <c r="D13" s="21">
        <v>0.125</v>
      </c>
      <c r="E13" s="21">
        <v>0.20731706917285919</v>
      </c>
      <c r="F13" s="21">
        <v>0.33892276883125311</v>
      </c>
      <c r="G13" s="21">
        <v>0.32876017689704901</v>
      </c>
      <c r="H13" s="21">
        <v>9.6000000834465027E-2</v>
      </c>
      <c r="I13" s="21">
        <v>0.11599999666213991</v>
      </c>
      <c r="J13" s="21">
        <v>0.13866665959358221</v>
      </c>
      <c r="K13" s="21">
        <v>0.64933335781097412</v>
      </c>
      <c r="L13" s="21">
        <v>0.41109970211982733</v>
      </c>
      <c r="M13" s="21">
        <v>0.29290851950645452</v>
      </c>
      <c r="N13" s="21">
        <v>0.16135662794113159</v>
      </c>
      <c r="O13" s="21">
        <v>0.1130524128675461</v>
      </c>
      <c r="P13" s="21">
        <v>2.158273383975029E-2</v>
      </c>
      <c r="Q13" s="21">
        <v>8.739837259054184E-2</v>
      </c>
      <c r="R13" s="21">
        <v>0.1559959352016449</v>
      </c>
      <c r="S13" s="21">
        <v>0.26981708407402039</v>
      </c>
      <c r="T13" s="21">
        <v>0.23831300437450409</v>
      </c>
      <c r="U13" s="21">
        <v>0.24847561120986941</v>
      </c>
    </row>
    <row r="14" spans="1:21" s="7" customFormat="1" x14ac:dyDescent="0.45">
      <c r="A14" s="7" t="s">
        <v>394</v>
      </c>
      <c r="B14" s="7" t="s">
        <v>139</v>
      </c>
      <c r="C14" s="72">
        <v>803</v>
      </c>
      <c r="D14" s="21">
        <v>0.13823163509368899</v>
      </c>
      <c r="E14" s="21">
        <v>0.20797011256217959</v>
      </c>
      <c r="F14" s="21">
        <v>0.37484434247016912</v>
      </c>
      <c r="G14" s="21">
        <v>0.2789539098739624</v>
      </c>
      <c r="H14" s="21">
        <v>0.1201848983764648</v>
      </c>
      <c r="I14" s="21">
        <v>0.11710323393344881</v>
      </c>
      <c r="J14" s="21">
        <v>0.15408320724964139</v>
      </c>
      <c r="K14" s="21">
        <v>0.60862863063812256</v>
      </c>
      <c r="L14" s="21">
        <v>0.16085271537303919</v>
      </c>
      <c r="M14" s="21">
        <v>0.43217054009437561</v>
      </c>
      <c r="N14" s="21">
        <v>0.23255814611911771</v>
      </c>
      <c r="O14" s="21">
        <v>0.13565891981124881</v>
      </c>
      <c r="P14" s="21">
        <v>3.8759689778089523E-2</v>
      </c>
      <c r="Q14" s="21">
        <v>0.31257784366607672</v>
      </c>
      <c r="R14" s="21">
        <v>0.19302615523338321</v>
      </c>
      <c r="S14" s="21">
        <v>0.14570361375808721</v>
      </c>
      <c r="T14" s="21">
        <v>0.19053548574447629</v>
      </c>
      <c r="U14" s="21">
        <v>0.15815691649913791</v>
      </c>
    </row>
    <row r="15" spans="1:21" s="7" customFormat="1" x14ac:dyDescent="0.45">
      <c r="A15" s="7" t="s">
        <v>394</v>
      </c>
      <c r="B15" s="7" t="s">
        <v>140</v>
      </c>
      <c r="C15" s="72">
        <v>552</v>
      </c>
      <c r="D15" s="21">
        <v>0.10144927352666849</v>
      </c>
      <c r="E15" s="21">
        <v>0.23188406229019171</v>
      </c>
      <c r="F15" s="21">
        <v>0.37862318754196173</v>
      </c>
      <c r="G15" s="21">
        <v>0.28804346919059748</v>
      </c>
      <c r="H15" s="21">
        <v>0.130952388048172</v>
      </c>
      <c r="I15" s="21">
        <v>0.1261904835700989</v>
      </c>
      <c r="J15" s="21">
        <v>0.10000000149011611</v>
      </c>
      <c r="K15" s="21">
        <v>0.6428571343421936</v>
      </c>
      <c r="L15" s="21">
        <v>0.27950310707092291</v>
      </c>
      <c r="M15" s="21">
        <v>0.34161490201950068</v>
      </c>
      <c r="N15" s="21">
        <v>0.18012422323226929</v>
      </c>
      <c r="O15" s="21">
        <v>0.17701862752437589</v>
      </c>
      <c r="P15" s="21">
        <v>2.1739130839705471E-2</v>
      </c>
      <c r="Q15" s="21">
        <v>0.1992753595113754</v>
      </c>
      <c r="R15" s="21">
        <v>0.19565217196941381</v>
      </c>
      <c r="S15" s="21">
        <v>0.18840579688549039</v>
      </c>
      <c r="T15" s="21">
        <v>0.19202898442745209</v>
      </c>
      <c r="U15" s="21">
        <v>0.22463768720626831</v>
      </c>
    </row>
    <row r="16" spans="1:21" s="7" customFormat="1" x14ac:dyDescent="0.45">
      <c r="A16" s="7" t="s">
        <v>394</v>
      </c>
      <c r="B16" s="7" t="s">
        <v>141</v>
      </c>
      <c r="C16" s="72">
        <v>591</v>
      </c>
      <c r="D16" s="21">
        <v>0.1150592193007469</v>
      </c>
      <c r="E16" s="21">
        <v>0.22673435509204859</v>
      </c>
      <c r="F16" s="21">
        <v>0.3553299605846405</v>
      </c>
      <c r="G16" s="21">
        <v>0.30287647247314448</v>
      </c>
      <c r="H16" s="21">
        <v>4.7281324863433838E-2</v>
      </c>
      <c r="I16" s="21">
        <v>0.19858156144618991</v>
      </c>
      <c r="J16" s="21">
        <v>0.13475176692008969</v>
      </c>
      <c r="K16" s="21">
        <v>0.61938536167144775</v>
      </c>
      <c r="L16" s="21">
        <v>0.37655860185623169</v>
      </c>
      <c r="M16" s="21">
        <v>0.27431422472000122</v>
      </c>
      <c r="N16" s="21">
        <v>0.19700747728347781</v>
      </c>
      <c r="O16" s="21">
        <v>0.1246882826089859</v>
      </c>
      <c r="P16" s="21">
        <v>2.7431420981883999E-2</v>
      </c>
      <c r="Q16" s="21">
        <v>0.15397630631923681</v>
      </c>
      <c r="R16" s="21">
        <v>0.18950930237770081</v>
      </c>
      <c r="S16" s="21">
        <v>0.22673435509204859</v>
      </c>
      <c r="T16" s="21">
        <v>0.22842639684677121</v>
      </c>
      <c r="U16" s="21">
        <v>0.20135363936424261</v>
      </c>
    </row>
    <row r="17" spans="1:21" s="7" customFormat="1" x14ac:dyDescent="0.45">
      <c r="A17" s="7" t="s">
        <v>394</v>
      </c>
      <c r="B17" s="7" t="s">
        <v>142</v>
      </c>
      <c r="C17" s="72">
        <v>462</v>
      </c>
      <c r="D17" s="21">
        <v>0.1233766227960587</v>
      </c>
      <c r="E17" s="21">
        <v>0.25324675440788269</v>
      </c>
      <c r="F17" s="21">
        <v>0.38311687111854548</v>
      </c>
      <c r="G17" s="21">
        <v>0.2402597367763519</v>
      </c>
      <c r="H17" s="21">
        <v>3.7837836891412728E-2</v>
      </c>
      <c r="I17" s="21">
        <v>0.14324323832988739</v>
      </c>
      <c r="J17" s="21">
        <v>0.15135134756565091</v>
      </c>
      <c r="K17" s="21">
        <v>0.66756755113601685</v>
      </c>
      <c r="L17" s="21">
        <v>0.3343108594417572</v>
      </c>
      <c r="M17" s="21">
        <v>0.3167155385017395</v>
      </c>
      <c r="N17" s="21">
        <v>0.18181818723678589</v>
      </c>
      <c r="O17" s="21">
        <v>0.12609970569610601</v>
      </c>
      <c r="P17" s="21">
        <v>4.1055720299482353E-2</v>
      </c>
      <c r="Q17" s="21">
        <v>0.2402597367763519</v>
      </c>
      <c r="R17" s="21">
        <v>0.19480518996715551</v>
      </c>
      <c r="S17" s="21">
        <v>0.14718614518642431</v>
      </c>
      <c r="T17" s="21">
        <v>0.2380952388048172</v>
      </c>
      <c r="U17" s="21">
        <v>0.17965367436408999</v>
      </c>
    </row>
    <row r="18" spans="1:21" s="7" customFormat="1" x14ac:dyDescent="0.45">
      <c r="A18" s="7" t="s">
        <v>394</v>
      </c>
      <c r="B18" s="7" t="s">
        <v>143</v>
      </c>
      <c r="C18" s="72">
        <v>443</v>
      </c>
      <c r="D18" s="21">
        <v>0.18961624801158911</v>
      </c>
      <c r="E18" s="21">
        <v>0.23250564932823181</v>
      </c>
      <c r="F18" s="21">
        <v>0.29571107029914862</v>
      </c>
      <c r="G18" s="21">
        <v>0.28216704726219177</v>
      </c>
      <c r="H18" s="21">
        <v>0.14197531342506409</v>
      </c>
      <c r="I18" s="21">
        <v>0.11728394776582721</v>
      </c>
      <c r="J18" s="21">
        <v>6.1728395521640778E-2</v>
      </c>
      <c r="K18" s="21">
        <v>0.67901235818862915</v>
      </c>
      <c r="L18" s="21">
        <v>0.46875</v>
      </c>
      <c r="M18" s="21">
        <v>0.265625</v>
      </c>
      <c r="N18" s="21">
        <v>0.140625</v>
      </c>
      <c r="O18" s="21">
        <v>9.375E-2</v>
      </c>
      <c r="P18" s="21">
        <v>3.125E-2</v>
      </c>
      <c r="Q18" s="21">
        <v>0.1625282168388367</v>
      </c>
      <c r="R18" s="21">
        <v>0.23927764594554901</v>
      </c>
      <c r="S18" s="21">
        <v>0.22573363780975339</v>
      </c>
      <c r="T18" s="21">
        <v>0.19638825953006739</v>
      </c>
      <c r="U18" s="21">
        <v>0.17607223987579351</v>
      </c>
    </row>
    <row r="19" spans="1:21" s="7" customFormat="1" x14ac:dyDescent="0.45">
      <c r="A19" s="7" t="s">
        <v>394</v>
      </c>
      <c r="B19" s="7" t="s">
        <v>144</v>
      </c>
      <c r="C19" s="72">
        <v>367</v>
      </c>
      <c r="D19" s="21">
        <v>0.18528610467910769</v>
      </c>
      <c r="E19" s="21">
        <v>0.24250681698322299</v>
      </c>
      <c r="F19" s="21">
        <v>0.3378746509552002</v>
      </c>
      <c r="G19" s="21">
        <v>0.23433242738246921</v>
      </c>
      <c r="H19" s="21">
        <v>9.2592589557170868E-2</v>
      </c>
      <c r="I19" s="21">
        <v>0.14074073731899259</v>
      </c>
      <c r="J19" s="21">
        <v>0.14814814925193789</v>
      </c>
      <c r="K19" s="21">
        <v>0.61851853132247925</v>
      </c>
      <c r="L19" s="21">
        <v>0.21621622145175931</v>
      </c>
      <c r="M19" s="21">
        <v>0.35135135054588318</v>
      </c>
      <c r="N19" s="21">
        <v>0.24324324727058411</v>
      </c>
      <c r="O19" s="21">
        <v>0.14864864945411679</v>
      </c>
      <c r="P19" s="21">
        <v>4.0540538728237152E-2</v>
      </c>
      <c r="Q19" s="21">
        <v>0.21253405511379239</v>
      </c>
      <c r="R19" s="21">
        <v>0.34059944748878479</v>
      </c>
      <c r="S19" s="21">
        <v>0.24523161351680761</v>
      </c>
      <c r="T19" s="21">
        <v>0.13351498544216159</v>
      </c>
      <c r="U19" s="21">
        <v>6.8119890987873077E-2</v>
      </c>
    </row>
    <row r="20" spans="1:21" s="7" customFormat="1" x14ac:dyDescent="0.45">
      <c r="A20" s="7" t="s">
        <v>394</v>
      </c>
      <c r="B20" s="7" t="s">
        <v>145</v>
      </c>
      <c r="C20" s="72">
        <v>1126</v>
      </c>
      <c r="D20" s="21">
        <v>0.1181172281503677</v>
      </c>
      <c r="E20" s="21">
        <v>0.26287743449211121</v>
      </c>
      <c r="F20" s="21">
        <v>0.30195382237434393</v>
      </c>
      <c r="G20" s="21">
        <v>0.31705150008201599</v>
      </c>
      <c r="H20" s="21">
        <v>0.1074964627623558</v>
      </c>
      <c r="I20" s="21">
        <v>0.11173974722623831</v>
      </c>
      <c r="J20" s="21">
        <v>0.1173974573612213</v>
      </c>
      <c r="K20" s="21">
        <v>0.66336631774902344</v>
      </c>
      <c r="L20" s="21">
        <v>0.32432430982589722</v>
      </c>
      <c r="M20" s="21">
        <v>0.3485063910484314</v>
      </c>
      <c r="N20" s="21">
        <v>0.17211948335170749</v>
      </c>
      <c r="O20" s="21">
        <v>0.13371266424655909</v>
      </c>
      <c r="P20" s="21">
        <v>2.1337127313017849E-2</v>
      </c>
      <c r="Q20" s="21">
        <v>0.28774422407150269</v>
      </c>
      <c r="R20" s="21">
        <v>0.24333925545215609</v>
      </c>
      <c r="S20" s="21">
        <v>0.1642984002828598</v>
      </c>
      <c r="T20" s="21">
        <v>0.15541741251945501</v>
      </c>
      <c r="U20" s="21">
        <v>0.14920070767402649</v>
      </c>
    </row>
    <row r="21" spans="1:21" s="7" customFormat="1" x14ac:dyDescent="0.45">
      <c r="A21" s="7" t="s">
        <v>394</v>
      </c>
      <c r="B21" s="7" t="s">
        <v>146</v>
      </c>
      <c r="C21" s="72">
        <v>716</v>
      </c>
      <c r="D21" s="21">
        <v>0.1005586609244347</v>
      </c>
      <c r="E21" s="21">
        <v>0.20391061902046201</v>
      </c>
      <c r="F21" s="21">
        <v>0.34497207403182978</v>
      </c>
      <c r="G21" s="21">
        <v>0.35055866837501531</v>
      </c>
      <c r="H21" s="21">
        <v>0.15033784508705139</v>
      </c>
      <c r="I21" s="21">
        <v>0.1047297269105911</v>
      </c>
      <c r="J21" s="21">
        <v>0.12837837636470789</v>
      </c>
      <c r="K21" s="21">
        <v>0.61655408143997192</v>
      </c>
      <c r="L21" s="21">
        <v>0.34666666388511658</v>
      </c>
      <c r="M21" s="21">
        <v>0.31333333253860468</v>
      </c>
      <c r="N21" s="21">
        <v>0.15777777135372159</v>
      </c>
      <c r="O21" s="21">
        <v>0.14888888597488401</v>
      </c>
      <c r="P21" s="21">
        <v>3.3333335071802139E-2</v>
      </c>
      <c r="Q21" s="21">
        <v>0.1047486066818237</v>
      </c>
      <c r="R21" s="21">
        <v>0.27653631567955023</v>
      </c>
      <c r="S21" s="21">
        <v>0.29329609870910639</v>
      </c>
      <c r="T21" s="21">
        <v>0.21229049563407901</v>
      </c>
      <c r="U21" s="21">
        <v>0.1131284907460213</v>
      </c>
    </row>
    <row r="22" spans="1:21" s="7" customFormat="1" x14ac:dyDescent="0.45">
      <c r="A22" s="7" t="s">
        <v>394</v>
      </c>
      <c r="B22" s="7" t="s">
        <v>406</v>
      </c>
      <c r="C22" s="72">
        <v>860</v>
      </c>
      <c r="D22" s="21">
        <v>0.16976743936538699</v>
      </c>
      <c r="E22" s="21">
        <v>0.22209301590919489</v>
      </c>
      <c r="F22" s="21">
        <v>0.31279069185256958</v>
      </c>
      <c r="G22" s="21">
        <v>0.29534882307052612</v>
      </c>
      <c r="H22" s="21">
        <v>0.1020036414265633</v>
      </c>
      <c r="I22" s="21">
        <v>0.12021858245134349</v>
      </c>
      <c r="J22" s="21">
        <v>0.21493624150753021</v>
      </c>
      <c r="K22" s="21">
        <v>0.56284153461456299</v>
      </c>
      <c r="L22" s="21">
        <v>0.33480176329612732</v>
      </c>
      <c r="M22" s="21">
        <v>0.41189426183700562</v>
      </c>
      <c r="N22" s="21">
        <v>0.1299559473991394</v>
      </c>
      <c r="O22" s="21">
        <v>0.1013215854763985</v>
      </c>
      <c r="P22" s="21">
        <v>2.2026430815458301E-2</v>
      </c>
      <c r="Q22" s="21">
        <v>9.4186045229434967E-2</v>
      </c>
      <c r="R22" s="21">
        <v>0.23023255169391629</v>
      </c>
      <c r="S22" s="21">
        <v>0.21046511828899381</v>
      </c>
      <c r="T22" s="21">
        <v>0.2209302335977554</v>
      </c>
      <c r="U22" s="21">
        <v>0.24418604373931879</v>
      </c>
    </row>
    <row r="23" spans="1:21" s="7" customFormat="1" x14ac:dyDescent="0.45">
      <c r="A23" s="7" t="s">
        <v>394</v>
      </c>
      <c r="B23" s="7" t="s">
        <v>147</v>
      </c>
      <c r="C23" s="72">
        <v>922</v>
      </c>
      <c r="D23" s="21">
        <v>0.13123644888401029</v>
      </c>
      <c r="E23" s="21">
        <v>0.18438178300857541</v>
      </c>
      <c r="F23" s="21">
        <v>0.38069415092468262</v>
      </c>
      <c r="G23" s="21">
        <v>0.30368763208389282</v>
      </c>
      <c r="H23" s="21">
        <v>0.13704206049442291</v>
      </c>
      <c r="I23" s="21">
        <v>0.12618725001811981</v>
      </c>
      <c r="J23" s="21">
        <v>0.1356852054595947</v>
      </c>
      <c r="K23" s="21">
        <v>0.60108548402786255</v>
      </c>
      <c r="L23" s="21">
        <v>0.32735425233840942</v>
      </c>
      <c r="M23" s="21">
        <v>0.29820626974105829</v>
      </c>
      <c r="N23" s="21">
        <v>0.2242152392864227</v>
      </c>
      <c r="O23" s="21">
        <v>0.1143497750163078</v>
      </c>
      <c r="P23" s="21">
        <v>3.5874441266059882E-2</v>
      </c>
      <c r="Q23" s="21">
        <v>8.8937096297740936E-2</v>
      </c>
      <c r="R23" s="21">
        <v>0.15618221461772919</v>
      </c>
      <c r="S23" s="21">
        <v>0.2494577020406723</v>
      </c>
      <c r="T23" s="21">
        <v>0.24837310612201691</v>
      </c>
      <c r="U23" s="21">
        <v>0.25704988837242132</v>
      </c>
    </row>
    <row r="24" spans="1:21" s="7" customFormat="1" x14ac:dyDescent="0.45">
      <c r="A24" s="7" t="s">
        <v>394</v>
      </c>
      <c r="B24" s="7" t="s">
        <v>148</v>
      </c>
      <c r="C24" s="72">
        <v>475</v>
      </c>
      <c r="D24" s="21">
        <v>0.1873684227466583</v>
      </c>
      <c r="E24" s="21">
        <v>0.26105263829231262</v>
      </c>
      <c r="F24" s="21">
        <v>0.36631578207015991</v>
      </c>
      <c r="G24" s="21">
        <v>0.18526315689086911</v>
      </c>
      <c r="H24" s="21">
        <v>9.5375724136829376E-2</v>
      </c>
      <c r="I24" s="21">
        <v>0.23699422180652621</v>
      </c>
      <c r="J24" s="21">
        <v>0.20809248089790339</v>
      </c>
      <c r="K24" s="21">
        <v>0.4595375657081604</v>
      </c>
      <c r="L24" s="21">
        <v>0.42794761061668402</v>
      </c>
      <c r="M24" s="21">
        <v>0.34497815370559692</v>
      </c>
      <c r="N24" s="21">
        <v>0.139737993478775</v>
      </c>
      <c r="O24" s="21">
        <v>6.1135370284318917E-2</v>
      </c>
      <c r="P24" s="21">
        <v>2.6200873777270321E-2</v>
      </c>
      <c r="Q24" s="21">
        <v>0.16631579399108889</v>
      </c>
      <c r="R24" s="21">
        <v>0.27368420362472529</v>
      </c>
      <c r="S24" s="21">
        <v>0.19157895445823669</v>
      </c>
      <c r="T24" s="21">
        <v>0.2021052688360214</v>
      </c>
      <c r="U24" s="21">
        <v>0.16631579399108889</v>
      </c>
    </row>
    <row r="25" spans="1:21" s="7" customFormat="1" x14ac:dyDescent="0.45">
      <c r="A25" s="7" t="s">
        <v>394</v>
      </c>
      <c r="B25" s="7" t="s">
        <v>149</v>
      </c>
      <c r="C25" s="72">
        <v>560</v>
      </c>
      <c r="D25" s="21">
        <v>0.1232142820954323</v>
      </c>
      <c r="E25" s="21">
        <v>0.20357142388820651</v>
      </c>
      <c r="F25" s="21">
        <v>0.36428570747375488</v>
      </c>
      <c r="G25" s="21">
        <v>0.30892857909202581</v>
      </c>
      <c r="H25" s="21">
        <v>0.1303030252456665</v>
      </c>
      <c r="I25" s="21">
        <v>9.3939393758773804E-2</v>
      </c>
      <c r="J25" s="21">
        <v>9.6969693899154663E-2</v>
      </c>
      <c r="K25" s="21">
        <v>0.67878788709640503</v>
      </c>
      <c r="L25" s="21">
        <v>0.23618090152740481</v>
      </c>
      <c r="M25" s="21">
        <v>0.31658291816711431</v>
      </c>
      <c r="N25" s="21">
        <v>0.22110553085803991</v>
      </c>
      <c r="O25" s="21">
        <v>0.14572864770889279</v>
      </c>
      <c r="P25" s="21">
        <v>8.0402009189128876E-2</v>
      </c>
      <c r="Q25" s="21">
        <v>0.30178570747375488</v>
      </c>
      <c r="R25" s="21">
        <v>0.19821429252624509</v>
      </c>
      <c r="S25" s="21">
        <v>0.1607142835855484</v>
      </c>
      <c r="T25" s="21">
        <v>0.21785713732242579</v>
      </c>
      <c r="U25" s="21">
        <v>0.1214285716414452</v>
      </c>
    </row>
    <row r="26" spans="1:21" s="7" customFormat="1" x14ac:dyDescent="0.45">
      <c r="A26" s="7" t="s">
        <v>394</v>
      </c>
      <c r="B26" s="7" t="s">
        <v>150</v>
      </c>
      <c r="C26" s="72">
        <v>1151</v>
      </c>
      <c r="D26" s="21">
        <v>0.1242397949099541</v>
      </c>
      <c r="E26" s="21">
        <v>0.1911381334066391</v>
      </c>
      <c r="F26" s="21">
        <v>0.35621199011802668</v>
      </c>
      <c r="G26" s="21">
        <v>0.32841008901596069</v>
      </c>
      <c r="H26" s="21">
        <v>0.146776407957077</v>
      </c>
      <c r="I26" s="21">
        <v>0.1056241393089294</v>
      </c>
      <c r="J26" s="21">
        <v>0.1234567910432816</v>
      </c>
      <c r="K26" s="21">
        <v>0.62414264678955078</v>
      </c>
      <c r="L26" s="21">
        <v>0.38174274563789368</v>
      </c>
      <c r="M26" s="21">
        <v>0.35684648156166082</v>
      </c>
      <c r="N26" s="21">
        <v>0.15767635405063629</v>
      </c>
      <c r="O26" s="21">
        <v>9.9585063755512238E-2</v>
      </c>
      <c r="P26" s="21">
        <v>4.1493778117001057E-3</v>
      </c>
      <c r="Q26" s="21">
        <v>5.4735012352466583E-2</v>
      </c>
      <c r="R26" s="21">
        <v>0.1164205074310303</v>
      </c>
      <c r="S26" s="21">
        <v>0.2215464860200882</v>
      </c>
      <c r="T26" s="21">
        <v>0.27367505431175232</v>
      </c>
      <c r="U26" s="21">
        <v>0.33362293243408198</v>
      </c>
    </row>
    <row r="27" spans="1:21" s="7" customFormat="1" x14ac:dyDescent="0.45">
      <c r="A27" s="7" t="s">
        <v>394</v>
      </c>
      <c r="B27" s="7" t="s">
        <v>151</v>
      </c>
      <c r="C27" s="72">
        <v>603</v>
      </c>
      <c r="D27" s="21">
        <v>0.1061359867453575</v>
      </c>
      <c r="E27" s="21">
        <v>0.1956882327795029</v>
      </c>
      <c r="F27" s="21">
        <v>0.36815920472145081</v>
      </c>
      <c r="G27" s="21">
        <v>0.33001658320426941</v>
      </c>
      <c r="H27" s="21">
        <v>0.1218390837311745</v>
      </c>
      <c r="I27" s="21">
        <v>0.10574712604284291</v>
      </c>
      <c r="J27" s="21">
        <v>0.14482758939266199</v>
      </c>
      <c r="K27" s="21">
        <v>0.62758618593215942</v>
      </c>
      <c r="L27" s="21">
        <v>0.37184116244316101</v>
      </c>
      <c r="M27" s="21">
        <v>0.29963898658752441</v>
      </c>
      <c r="N27" s="21">
        <v>0.19133573770523071</v>
      </c>
      <c r="O27" s="21">
        <v>0.1155234649777412</v>
      </c>
      <c r="P27" s="21">
        <v>2.166065014898777E-2</v>
      </c>
      <c r="Q27" s="21">
        <v>3.8142621517181403E-2</v>
      </c>
      <c r="R27" s="21">
        <v>8.6235485970973969E-2</v>
      </c>
      <c r="S27" s="21">
        <v>0.14096185564994809</v>
      </c>
      <c r="T27" s="21">
        <v>0.28855720162391663</v>
      </c>
      <c r="U27" s="21">
        <v>0.44610282778739929</v>
      </c>
    </row>
    <row r="28" spans="1:21" s="7" customFormat="1" x14ac:dyDescent="0.45">
      <c r="A28" s="7" t="s">
        <v>394</v>
      </c>
      <c r="B28" s="7" t="s">
        <v>152</v>
      </c>
      <c r="C28" s="72">
        <v>944</v>
      </c>
      <c r="D28" s="21">
        <v>0.1038135588169098</v>
      </c>
      <c r="E28" s="21">
        <v>0.22033898532390589</v>
      </c>
      <c r="F28" s="21">
        <v>0.36334747076034551</v>
      </c>
      <c r="G28" s="21">
        <v>0.3125</v>
      </c>
      <c r="H28" s="21">
        <v>0.16117216646671301</v>
      </c>
      <c r="I28" s="21">
        <v>0.1086691096425056</v>
      </c>
      <c r="J28" s="21">
        <v>0.16971917450428009</v>
      </c>
      <c r="K28" s="21">
        <v>0.5604395866394043</v>
      </c>
      <c r="L28" s="21">
        <v>0.40123456716537481</v>
      </c>
      <c r="M28" s="21">
        <v>0.27469134330749512</v>
      </c>
      <c r="N28" s="21">
        <v>0.16358025372028351</v>
      </c>
      <c r="O28" s="21">
        <v>0.11882716417312621</v>
      </c>
      <c r="P28" s="21">
        <v>4.1666667908430099E-2</v>
      </c>
      <c r="Q28" s="21">
        <v>6.6737286746501923E-2</v>
      </c>
      <c r="R28" s="21">
        <v>0.17478813230991361</v>
      </c>
      <c r="S28" s="21">
        <v>0.2108050882816315</v>
      </c>
      <c r="T28" s="21">
        <v>0.25423729419708252</v>
      </c>
      <c r="U28" s="21">
        <v>0.29343220591545099</v>
      </c>
    </row>
    <row r="29" spans="1:21" s="7" customFormat="1" x14ac:dyDescent="0.45">
      <c r="A29" s="7" t="s">
        <v>394</v>
      </c>
      <c r="B29" s="7" t="s">
        <v>153</v>
      </c>
      <c r="C29" s="72">
        <v>1730</v>
      </c>
      <c r="D29" s="21">
        <v>0.13063584268093109</v>
      </c>
      <c r="E29" s="21">
        <v>0.2213872820138931</v>
      </c>
      <c r="F29" s="21">
        <v>0.35260117053985601</v>
      </c>
      <c r="G29" s="21">
        <v>0.29537573456764221</v>
      </c>
      <c r="H29" s="21">
        <v>0.11746522039175029</v>
      </c>
      <c r="I29" s="21">
        <v>0.14142194390296939</v>
      </c>
      <c r="J29" s="21">
        <v>0.1468315273523331</v>
      </c>
      <c r="K29" s="21">
        <v>0.59428131580352783</v>
      </c>
      <c r="L29" s="21">
        <v>0.42211055755615229</v>
      </c>
      <c r="M29" s="21">
        <v>0.30351758003234858</v>
      </c>
      <c r="N29" s="21">
        <v>0.15879397094249731</v>
      </c>
      <c r="O29" s="21">
        <v>0.1005025133490562</v>
      </c>
      <c r="P29" s="21">
        <v>1.507537718862295E-2</v>
      </c>
      <c r="Q29" s="21">
        <v>0.2219653129577637</v>
      </c>
      <c r="R29" s="21">
        <v>0.18786127865314481</v>
      </c>
      <c r="S29" s="21">
        <v>0.20462428033351901</v>
      </c>
      <c r="T29" s="21">
        <v>0.21502889692783361</v>
      </c>
      <c r="U29" s="21">
        <v>0.17052023112773901</v>
      </c>
    </row>
    <row r="30" spans="1:21" s="7" customFormat="1" x14ac:dyDescent="0.45">
      <c r="A30" s="7" t="s">
        <v>394</v>
      </c>
      <c r="B30" s="7" t="s">
        <v>154</v>
      </c>
      <c r="C30" s="72">
        <v>788</v>
      </c>
      <c r="D30" s="21">
        <v>0.1383248716592789</v>
      </c>
      <c r="E30" s="21">
        <v>0.22208121418952939</v>
      </c>
      <c r="F30" s="21">
        <v>0.34263959527015692</v>
      </c>
      <c r="G30" s="21">
        <v>0.29695430397987371</v>
      </c>
      <c r="H30" s="21">
        <v>0.14678898453712461</v>
      </c>
      <c r="I30" s="21">
        <v>0.12691131234169009</v>
      </c>
      <c r="J30" s="21">
        <v>0.1238532140851021</v>
      </c>
      <c r="K30" s="21">
        <v>0.60244649648666382</v>
      </c>
      <c r="L30" s="21">
        <v>0.33902439475059509</v>
      </c>
      <c r="M30" s="21">
        <v>0.28780487179756159</v>
      </c>
      <c r="N30" s="21">
        <v>0.16829268634319311</v>
      </c>
      <c r="O30" s="21">
        <v>0.15609756112098691</v>
      </c>
      <c r="P30" s="21">
        <v>4.8780485987663269E-2</v>
      </c>
      <c r="Q30" s="21">
        <v>0.26269036531448359</v>
      </c>
      <c r="R30" s="21">
        <v>0.15609137713909149</v>
      </c>
      <c r="S30" s="21">
        <v>0.2131979763507843</v>
      </c>
      <c r="T30" s="21">
        <v>0.21192893385887149</v>
      </c>
      <c r="U30" s="21">
        <v>0.15609137713909149</v>
      </c>
    </row>
    <row r="31" spans="1:21" s="10" customFormat="1" x14ac:dyDescent="0.45">
      <c r="D31" s="11"/>
      <c r="E31" s="11"/>
      <c r="F31" s="11"/>
      <c r="G31" s="11"/>
      <c r="H31" s="11"/>
      <c r="I31" s="11"/>
      <c r="J31" s="11"/>
      <c r="K31" s="11"/>
      <c r="L31" s="11"/>
      <c r="M31" s="11"/>
      <c r="N31" s="11"/>
      <c r="O31" s="11"/>
      <c r="P31" s="11"/>
      <c r="Q31" s="11"/>
      <c r="R31" s="11"/>
      <c r="S31" s="11"/>
      <c r="T31" s="11"/>
      <c r="U31" s="11"/>
    </row>
    <row r="32" spans="1:21" s="7" customFormat="1" x14ac:dyDescent="0.45">
      <c r="B32" s="7" t="s">
        <v>279</v>
      </c>
      <c r="C32" s="7" t="s">
        <v>280</v>
      </c>
    </row>
    <row r="33" spans="2:2" x14ac:dyDescent="0.45">
      <c r="B33" s="17"/>
    </row>
    <row r="34" spans="2:2" x14ac:dyDescent="0.45">
      <c r="B34" s="17"/>
    </row>
    <row r="35" spans="2:2" x14ac:dyDescent="0.45">
      <c r="B35" s="17"/>
    </row>
    <row r="36" spans="2:2" x14ac:dyDescent="0.45">
      <c r="B36" s="17"/>
    </row>
  </sheetData>
  <mergeCells count="4">
    <mergeCell ref="D8:G8"/>
    <mergeCell ref="H8:K8"/>
    <mergeCell ref="L8:P8"/>
    <mergeCell ref="Q8:U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19"/>
  <sheetViews>
    <sheetView topLeftCell="B1" workbookViewId="0">
      <selection activeCell="L20" sqref="L20"/>
    </sheetView>
  </sheetViews>
  <sheetFormatPr defaultRowHeight="14.25" x14ac:dyDescent="0.45"/>
  <cols>
    <col min="2" max="2" width="6.73046875" customWidth="1"/>
    <col min="3" max="3" width="34" customWidth="1"/>
    <col min="4" max="4" width="15" customWidth="1"/>
  </cols>
  <sheetData>
    <row r="1" spans="1:19" x14ac:dyDescent="0.45">
      <c r="A1" s="42"/>
    </row>
    <row r="2" spans="1:19" ht="21" x14ac:dyDescent="0.65">
      <c r="A2" s="1" t="s">
        <v>667</v>
      </c>
    </row>
    <row r="3" spans="1:19" x14ac:dyDescent="0.45">
      <c r="B3" s="7" t="s">
        <v>340</v>
      </c>
    </row>
    <row r="4" spans="1:19" x14ac:dyDescent="0.45">
      <c r="B4" s="7" t="s">
        <v>338</v>
      </c>
    </row>
    <row r="5" spans="1:19" x14ac:dyDescent="0.45">
      <c r="C5" s="7"/>
    </row>
    <row r="7" spans="1:19" s="41" customFormat="1" ht="60" customHeight="1" x14ac:dyDescent="0.45">
      <c r="E7" s="99" t="s">
        <v>341</v>
      </c>
      <c r="F7" s="100"/>
      <c r="G7" s="100"/>
      <c r="H7" s="100"/>
      <c r="I7" s="99" t="s">
        <v>304</v>
      </c>
      <c r="J7" s="101"/>
      <c r="K7" s="100" t="s">
        <v>305</v>
      </c>
      <c r="L7" s="100"/>
      <c r="M7" s="100"/>
      <c r="N7" s="100"/>
      <c r="O7" s="99" t="s">
        <v>342</v>
      </c>
      <c r="P7" s="100"/>
      <c r="Q7" s="100"/>
      <c r="R7" s="100"/>
      <c r="S7" s="101"/>
    </row>
    <row r="8" spans="1:19" s="7" customFormat="1" ht="57" x14ac:dyDescent="0.45">
      <c r="A8" s="3" t="s">
        <v>284</v>
      </c>
      <c r="B8" s="12" t="s">
        <v>337</v>
      </c>
      <c r="C8" s="12" t="s">
        <v>345</v>
      </c>
      <c r="D8" s="22" t="s">
        <v>668</v>
      </c>
      <c r="E8" s="23" t="s">
        <v>269</v>
      </c>
      <c r="F8" s="23" t="s">
        <v>270</v>
      </c>
      <c r="G8" s="23" t="s">
        <v>271</v>
      </c>
      <c r="H8" s="23" t="s">
        <v>272</v>
      </c>
      <c r="I8" s="24" t="s">
        <v>343</v>
      </c>
      <c r="J8" s="24" t="s">
        <v>268</v>
      </c>
      <c r="K8" s="23" t="s">
        <v>276</v>
      </c>
      <c r="L8" s="23">
        <v>1</v>
      </c>
      <c r="M8" s="23">
        <v>2</v>
      </c>
      <c r="N8" s="45" t="s">
        <v>344</v>
      </c>
      <c r="O8" s="23" t="s">
        <v>274</v>
      </c>
      <c r="P8" s="23">
        <v>2</v>
      </c>
      <c r="Q8" s="23">
        <v>3</v>
      </c>
      <c r="R8" s="23">
        <v>4</v>
      </c>
      <c r="S8" s="23" t="s">
        <v>275</v>
      </c>
    </row>
    <row r="9" spans="1:19" s="8" customFormat="1" x14ac:dyDescent="0.45">
      <c r="A9" s="7" t="s">
        <v>665</v>
      </c>
      <c r="B9" s="96" t="s">
        <v>336</v>
      </c>
      <c r="C9" s="96"/>
      <c r="D9" s="13">
        <v>926</v>
      </c>
      <c r="E9" s="44">
        <f>108/901</f>
        <v>0.11986681465038845</v>
      </c>
      <c r="F9" s="44">
        <f>194/901</f>
        <v>0.2153163152053274</v>
      </c>
      <c r="G9" s="44">
        <f>360/901</f>
        <v>0.3995560488346282</v>
      </c>
      <c r="H9" s="44">
        <f>239/901</f>
        <v>0.26526082130965595</v>
      </c>
      <c r="I9" s="9">
        <f>235/664</f>
        <v>0.35391566265060243</v>
      </c>
      <c r="J9" s="9">
        <f>429/664</f>
        <v>0.64608433734939763</v>
      </c>
      <c r="K9" s="9">
        <f>272/810</f>
        <v>0.33580246913580247</v>
      </c>
      <c r="L9" s="9">
        <f>240/810</f>
        <v>0.29629629629629628</v>
      </c>
      <c r="M9" s="9">
        <f>133/810</f>
        <v>0.16419753086419753</v>
      </c>
      <c r="N9" s="9">
        <f>(134+31)/810</f>
        <v>0.20370370370370369</v>
      </c>
      <c r="O9" s="9">
        <f>182/859</f>
        <v>0.21187427240977882</v>
      </c>
      <c r="P9" s="9">
        <f>167/859</f>
        <v>0.19441210710128057</v>
      </c>
      <c r="Q9" s="9">
        <f>190/859</f>
        <v>0.22118742724097787</v>
      </c>
      <c r="R9" s="9">
        <f>166/859</f>
        <v>0.19324796274738068</v>
      </c>
      <c r="S9" s="9">
        <f>154/859</f>
        <v>0.17927823050058206</v>
      </c>
    </row>
    <row r="10" spans="1:19" s="7" customFormat="1" x14ac:dyDescent="0.45">
      <c r="A10" s="7" t="s">
        <v>665</v>
      </c>
      <c r="B10" s="7" t="s">
        <v>324</v>
      </c>
      <c r="C10" s="7" t="s">
        <v>325</v>
      </c>
      <c r="D10" s="7">
        <v>214</v>
      </c>
      <c r="E10" s="21">
        <f>26/211</f>
        <v>0.12322274881516587</v>
      </c>
      <c r="F10" s="21">
        <f>39/211</f>
        <v>0.18483412322274881</v>
      </c>
      <c r="G10" s="21">
        <f>83/211</f>
        <v>0.39336492890995262</v>
      </c>
      <c r="H10" s="21">
        <f>63/211</f>
        <v>0.29857819905213268</v>
      </c>
      <c r="I10" s="21">
        <f>68/191</f>
        <v>0.35602094240837695</v>
      </c>
      <c r="J10" s="21">
        <f>123/191</f>
        <v>0.64397905759162299</v>
      </c>
      <c r="K10" s="21">
        <f>51/201</f>
        <v>0.2537313432835821</v>
      </c>
      <c r="L10" s="21">
        <f>58/201</f>
        <v>0.28855721393034828</v>
      </c>
      <c r="M10" s="21">
        <f>32/201</f>
        <v>0.15920398009950248</v>
      </c>
      <c r="N10" s="21">
        <f>(51+9)/201</f>
        <v>0.29850746268656714</v>
      </c>
      <c r="O10" s="21">
        <f>24/204</f>
        <v>0.11764705882352941</v>
      </c>
      <c r="P10" s="21">
        <f>35/204</f>
        <v>0.17156862745098039</v>
      </c>
      <c r="Q10" s="21">
        <f>53/204</f>
        <v>0.25980392156862747</v>
      </c>
      <c r="R10" s="21">
        <f>57/204</f>
        <v>0.27941176470588236</v>
      </c>
      <c r="S10" s="21">
        <f>35/204</f>
        <v>0.17156862745098039</v>
      </c>
    </row>
    <row r="11" spans="1:19" s="7" customFormat="1" x14ac:dyDescent="0.45">
      <c r="A11" s="7" t="s">
        <v>665</v>
      </c>
      <c r="B11" s="7" t="s">
        <v>326</v>
      </c>
      <c r="C11" s="7" t="s">
        <v>327</v>
      </c>
      <c r="D11" s="7">
        <v>135</v>
      </c>
      <c r="E11" s="21">
        <f>13/131</f>
        <v>9.9236641221374045E-2</v>
      </c>
      <c r="F11" s="21">
        <f>26/131</f>
        <v>0.19847328244274809</v>
      </c>
      <c r="G11" s="21">
        <f>57/131</f>
        <v>0.4351145038167939</v>
      </c>
      <c r="H11" s="21">
        <f>35/131</f>
        <v>0.26717557251908397</v>
      </c>
      <c r="I11" s="21">
        <f>44/125</f>
        <v>0.35199999999999998</v>
      </c>
      <c r="J11" s="21">
        <f>81/125</f>
        <v>0.64800000000000002</v>
      </c>
      <c r="K11" s="21">
        <f>44/126</f>
        <v>0.34920634920634919</v>
      </c>
      <c r="L11" s="21">
        <f>32/126</f>
        <v>0.25396825396825395</v>
      </c>
      <c r="M11" s="21">
        <f>24/126</f>
        <v>0.19047619047619047</v>
      </c>
      <c r="N11" s="21">
        <f>(22+4)/126</f>
        <v>0.20634920634920634</v>
      </c>
      <c r="O11" s="46">
        <f>7/123</f>
        <v>5.6910569105691054E-2</v>
      </c>
      <c r="P11" s="46">
        <f>25/123</f>
        <v>0.2032520325203252</v>
      </c>
      <c r="Q11" s="46">
        <f>53/123</f>
        <v>0.43089430894308944</v>
      </c>
      <c r="R11" s="46">
        <f>34/123</f>
        <v>0.27642276422764228</v>
      </c>
      <c r="S11" s="46">
        <f>4/123</f>
        <v>3.2520325203252036E-2</v>
      </c>
    </row>
    <row r="12" spans="1:19" s="7" customFormat="1" x14ac:dyDescent="0.45">
      <c r="A12" s="7" t="s">
        <v>665</v>
      </c>
      <c r="B12" s="7" t="s">
        <v>328</v>
      </c>
      <c r="C12" s="7" t="s">
        <v>329</v>
      </c>
      <c r="D12" s="7">
        <v>181</v>
      </c>
      <c r="E12" s="21">
        <f>22/173</f>
        <v>0.12716763005780346</v>
      </c>
      <c r="F12" s="21">
        <f>44/173</f>
        <v>0.25433526011560692</v>
      </c>
      <c r="G12" s="21">
        <f>64/173</f>
        <v>0.36994219653179189</v>
      </c>
      <c r="H12" s="21">
        <f>43/173</f>
        <v>0.24855491329479767</v>
      </c>
      <c r="I12" s="21">
        <f>53/123</f>
        <v>0.43089430894308944</v>
      </c>
      <c r="J12" s="21">
        <f>70/123</f>
        <v>0.56910569105691056</v>
      </c>
      <c r="K12" s="21">
        <f>53/136</f>
        <v>0.38970588235294118</v>
      </c>
      <c r="L12" s="21">
        <f>38/136</f>
        <v>0.27941176470588236</v>
      </c>
      <c r="M12" s="21">
        <f>19/136</f>
        <v>0.13970588235294118</v>
      </c>
      <c r="N12" s="21">
        <f>(22+4)/136</f>
        <v>0.19117647058823528</v>
      </c>
      <c r="O12" s="21">
        <f>46/167</f>
        <v>0.27544910179640719</v>
      </c>
      <c r="P12" s="21">
        <f>29/167</f>
        <v>0.17365269461077845</v>
      </c>
      <c r="Q12" s="21">
        <f>24/167</f>
        <v>0.1437125748502994</v>
      </c>
      <c r="R12" s="21">
        <f>29/167</f>
        <v>0.17365269461077845</v>
      </c>
      <c r="S12" s="21">
        <f>39/167</f>
        <v>0.23353293413173654</v>
      </c>
    </row>
    <row r="13" spans="1:19" s="7" customFormat="1" x14ac:dyDescent="0.45">
      <c r="A13" s="7" t="s">
        <v>665</v>
      </c>
      <c r="B13" s="7" t="s">
        <v>330</v>
      </c>
      <c r="C13" s="7" t="s">
        <v>331</v>
      </c>
      <c r="D13" s="7">
        <v>121</v>
      </c>
      <c r="E13" s="21">
        <f>18/116</f>
        <v>0.15517241379310345</v>
      </c>
      <c r="F13" s="21">
        <f>23/116</f>
        <v>0.19827586206896552</v>
      </c>
      <c r="G13" s="21">
        <f>49/116</f>
        <v>0.42241379310344829</v>
      </c>
      <c r="H13" s="21">
        <f>26/116</f>
        <v>0.22413793103448276</v>
      </c>
      <c r="I13" s="48" t="s">
        <v>135</v>
      </c>
      <c r="J13" s="46" t="s">
        <v>135</v>
      </c>
      <c r="K13" s="21">
        <f>38/96</f>
        <v>0.39583333333333331</v>
      </c>
      <c r="L13" s="21">
        <f>28/96</f>
        <v>0.29166666666666669</v>
      </c>
      <c r="M13" s="21">
        <f>15/96</f>
        <v>0.15625</v>
      </c>
      <c r="N13" s="21">
        <f>(9+6)/96</f>
        <v>0.15625</v>
      </c>
      <c r="O13" s="21">
        <f>29/111</f>
        <v>0.26126126126126126</v>
      </c>
      <c r="P13" s="21">
        <f>12/111</f>
        <v>0.10810810810810811</v>
      </c>
      <c r="Q13" s="21">
        <f>18/111</f>
        <v>0.16216216216216217</v>
      </c>
      <c r="R13" s="21">
        <f>13/111</f>
        <v>0.11711711711711711</v>
      </c>
      <c r="S13" s="21">
        <f>39/111</f>
        <v>0.35135135135135137</v>
      </c>
    </row>
    <row r="14" spans="1:19" s="7" customFormat="1" x14ac:dyDescent="0.45">
      <c r="A14" s="7" t="s">
        <v>665</v>
      </c>
      <c r="B14" s="7" t="s">
        <v>332</v>
      </c>
      <c r="C14" s="7" t="s">
        <v>333</v>
      </c>
      <c r="D14" s="7">
        <v>109</v>
      </c>
      <c r="E14" s="21">
        <f>6/107</f>
        <v>5.6074766355140186E-2</v>
      </c>
      <c r="F14" s="21">
        <f>27/107</f>
        <v>0.25233644859813081</v>
      </c>
      <c r="G14" s="21">
        <f>43/107</f>
        <v>0.40186915887850466</v>
      </c>
      <c r="H14" s="21">
        <f>31/107</f>
        <v>0.28971962616822428</v>
      </c>
      <c r="I14" s="21">
        <f>24/79</f>
        <v>0.30379746835443039</v>
      </c>
      <c r="J14" s="21">
        <f>55/79</f>
        <v>0.69620253164556967</v>
      </c>
      <c r="K14" s="21">
        <f>32/97</f>
        <v>0.32989690721649484</v>
      </c>
      <c r="L14" s="21">
        <f>27/97</f>
        <v>0.27835051546391754</v>
      </c>
      <c r="M14" s="21">
        <f>22/97</f>
        <v>0.22680412371134021</v>
      </c>
      <c r="N14" s="21">
        <f>(14+2)/97</f>
        <v>0.16494845360824742</v>
      </c>
      <c r="O14" s="21">
        <f>31/101</f>
        <v>0.30693069306930693</v>
      </c>
      <c r="P14" s="21">
        <f>41/101</f>
        <v>0.40594059405940597</v>
      </c>
      <c r="Q14" s="21">
        <f>12/101</f>
        <v>0.11881188118811881</v>
      </c>
      <c r="R14" s="21">
        <f>8/101</f>
        <v>7.9207920792079209E-2</v>
      </c>
      <c r="S14" s="21">
        <f>9/101</f>
        <v>8.9108910891089105E-2</v>
      </c>
    </row>
    <row r="15" spans="1:19" s="7" customFormat="1" x14ac:dyDescent="0.45">
      <c r="A15" s="7" t="s">
        <v>665</v>
      </c>
      <c r="B15" s="7" t="s">
        <v>334</v>
      </c>
      <c r="C15" s="7" t="s">
        <v>335</v>
      </c>
      <c r="D15" s="7">
        <v>166</v>
      </c>
      <c r="E15" s="21">
        <f>23/163</f>
        <v>0.1411042944785276</v>
      </c>
      <c r="F15" s="21">
        <f>35/163</f>
        <v>0.21472392638036811</v>
      </c>
      <c r="G15" s="21">
        <f>64/163</f>
        <v>0.39263803680981596</v>
      </c>
      <c r="H15" s="21">
        <f>41/163</f>
        <v>0.25153374233128833</v>
      </c>
      <c r="I15" s="21">
        <f>43/130</f>
        <v>0.33076923076923076</v>
      </c>
      <c r="J15" s="21">
        <f>87/130</f>
        <v>0.66923076923076918</v>
      </c>
      <c r="K15" s="21">
        <f>54/154</f>
        <v>0.35064935064935066</v>
      </c>
      <c r="L15" s="21">
        <f>57/154</f>
        <v>0.37012987012987014</v>
      </c>
      <c r="M15" s="21">
        <f>21/154</f>
        <v>0.13636363636363635</v>
      </c>
      <c r="N15" s="21">
        <f>(16+6)/154</f>
        <v>0.14285714285714285</v>
      </c>
      <c r="O15" s="21">
        <f>45/153</f>
        <v>0.29411764705882354</v>
      </c>
      <c r="P15" s="21">
        <f>25/153</f>
        <v>0.16339869281045752</v>
      </c>
      <c r="Q15" s="21">
        <f>30/153</f>
        <v>0.19607843137254902</v>
      </c>
      <c r="R15" s="21">
        <f>25/153</f>
        <v>0.16339869281045752</v>
      </c>
      <c r="S15" s="21">
        <f>28/153</f>
        <v>0.18300653594771241</v>
      </c>
    </row>
    <row r="19" spans="3:4" x14ac:dyDescent="0.45">
      <c r="C19" s="27" t="s">
        <v>135</v>
      </c>
      <c r="D19" s="7" t="s">
        <v>346</v>
      </c>
    </row>
  </sheetData>
  <mergeCells count="5">
    <mergeCell ref="E7:H7"/>
    <mergeCell ref="I7:J7"/>
    <mergeCell ref="O7:S7"/>
    <mergeCell ref="K7:N7"/>
    <mergeCell ref="B9:C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36"/>
  <sheetViews>
    <sheetView zoomScaleNormal="100" workbookViewId="0">
      <pane xSplit="7" ySplit="9" topLeftCell="I118" activePane="bottomRight" state="frozen"/>
      <selection pane="topRight" activeCell="H1" sqref="H1"/>
      <selection pane="bottomLeft" activeCell="A11" sqref="A11"/>
      <selection pane="bottomRight" activeCell="J124" sqref="J124"/>
    </sheetView>
  </sheetViews>
  <sheetFormatPr defaultRowHeight="14.25" x14ac:dyDescent="0.45"/>
  <cols>
    <col min="1" max="1" width="11.73046875" customWidth="1"/>
    <col min="2" max="2" width="26.73046875" customWidth="1"/>
    <col min="3" max="3" width="13.3984375" customWidth="1"/>
    <col min="4" max="4" width="43.73046875" customWidth="1"/>
    <col min="5" max="6" width="16.265625" customWidth="1"/>
    <col min="7" max="7" width="16.73046875" customWidth="1"/>
    <col min="8" max="8" width="19.73046875" customWidth="1"/>
    <col min="9" max="10" width="19.73046875" style="4" customWidth="1"/>
    <col min="11" max="16" width="19.73046875" customWidth="1"/>
    <col min="17" max="18" width="13.3984375" customWidth="1"/>
  </cols>
  <sheetData>
    <row r="1" spans="1:18" x14ac:dyDescent="0.45">
      <c r="A1" s="42"/>
    </row>
    <row r="2" spans="1:18" ht="21" x14ac:dyDescent="0.65">
      <c r="A2" s="1" t="s">
        <v>398</v>
      </c>
    </row>
    <row r="3" spans="1:18" x14ac:dyDescent="0.45">
      <c r="B3" s="7" t="s">
        <v>383</v>
      </c>
    </row>
    <row r="4" spans="1:18" x14ac:dyDescent="0.45">
      <c r="B4" s="7" t="s">
        <v>382</v>
      </c>
    </row>
    <row r="5" spans="1:18" x14ac:dyDescent="0.45">
      <c r="B5" s="7" t="s">
        <v>660</v>
      </c>
    </row>
    <row r="7" spans="1:18" s="2" customFormat="1" ht="28.5" x14ac:dyDescent="0.45">
      <c r="A7" s="26"/>
      <c r="B7" s="26"/>
      <c r="C7" s="26"/>
      <c r="D7" s="26"/>
      <c r="E7" s="26"/>
      <c r="F7" s="26"/>
      <c r="G7" s="26"/>
      <c r="H7" s="22" t="s">
        <v>136</v>
      </c>
      <c r="I7" s="103" t="s">
        <v>308</v>
      </c>
      <c r="J7" s="105"/>
      <c r="K7" s="105"/>
      <c r="L7" s="104"/>
      <c r="M7" s="103" t="s">
        <v>132</v>
      </c>
      <c r="N7" s="104"/>
      <c r="O7" s="102" t="s">
        <v>133</v>
      </c>
      <c r="P7" s="102"/>
      <c r="Q7" s="102" t="s">
        <v>386</v>
      </c>
      <c r="R7" s="102"/>
    </row>
    <row r="8" spans="1:18" s="2" customFormat="1" ht="99.75" x14ac:dyDescent="0.45">
      <c r="A8" s="3" t="s">
        <v>134</v>
      </c>
      <c r="B8" s="3" t="s">
        <v>0</v>
      </c>
      <c r="C8" s="12" t="s">
        <v>2</v>
      </c>
      <c r="D8" s="12" t="s">
        <v>3</v>
      </c>
      <c r="E8" s="22" t="s">
        <v>410</v>
      </c>
      <c r="F8" s="22" t="s">
        <v>411</v>
      </c>
      <c r="G8" s="22" t="s">
        <v>653</v>
      </c>
      <c r="H8" s="22" t="s">
        <v>312</v>
      </c>
      <c r="I8" s="23" t="s">
        <v>313</v>
      </c>
      <c r="J8" s="23" t="s">
        <v>350</v>
      </c>
      <c r="K8" s="23" t="s">
        <v>315</v>
      </c>
      <c r="L8" s="23" t="s">
        <v>316</v>
      </c>
      <c r="M8" s="22" t="s">
        <v>317</v>
      </c>
      <c r="N8" s="22" t="s">
        <v>318</v>
      </c>
      <c r="O8" s="22" t="s">
        <v>319</v>
      </c>
      <c r="P8" s="22" t="s">
        <v>379</v>
      </c>
      <c r="Q8" s="22" t="s">
        <v>387</v>
      </c>
      <c r="R8" s="22" t="s">
        <v>388</v>
      </c>
    </row>
    <row r="9" spans="1:18" s="5" customFormat="1" x14ac:dyDescent="0.45">
      <c r="A9" s="8" t="s">
        <v>394</v>
      </c>
      <c r="B9" s="97" t="s">
        <v>4</v>
      </c>
      <c r="C9" s="97"/>
      <c r="D9" s="97"/>
      <c r="E9" s="106">
        <v>17328</v>
      </c>
      <c r="F9" s="58">
        <v>4863</v>
      </c>
      <c r="G9" s="58">
        <v>2109</v>
      </c>
      <c r="H9" s="64">
        <v>0.7621</v>
      </c>
      <c r="I9" s="65" t="s">
        <v>651</v>
      </c>
      <c r="J9" s="65" t="s">
        <v>652</v>
      </c>
      <c r="K9" s="63">
        <v>0.53650010000000004</v>
      </c>
      <c r="L9" s="63">
        <v>0.64466378999999996</v>
      </c>
      <c r="M9" s="64">
        <v>0.56679999999999997</v>
      </c>
      <c r="N9" s="64">
        <v>0.26869999999999999</v>
      </c>
      <c r="O9" s="64">
        <v>0.87450000000000006</v>
      </c>
      <c r="P9" s="64">
        <v>0.5383</v>
      </c>
      <c r="Q9" s="60">
        <v>0.52960529999999995</v>
      </c>
      <c r="R9" s="60">
        <v>0.2302054</v>
      </c>
    </row>
    <row r="10" spans="1:18" s="7" customFormat="1" x14ac:dyDescent="0.45">
      <c r="A10" s="7" t="s">
        <v>394</v>
      </c>
      <c r="B10" s="7" t="str">
        <f>VLOOKUP(C10,'Organisation names'!$B$4:$D$130,3,FALSE)</f>
        <v>Greater Manchester</v>
      </c>
      <c r="C10" s="7" t="s">
        <v>9</v>
      </c>
      <c r="D10" s="7" t="str">
        <f>VLOOKUP(C10,'Organisation names'!$B$4:$D$130,2,FALSE)</f>
        <v>Manchester University NHS Foundation Trust</v>
      </c>
      <c r="E10" s="72">
        <v>237</v>
      </c>
      <c r="F10" s="72">
        <v>67</v>
      </c>
      <c r="G10" s="72">
        <v>37</v>
      </c>
      <c r="H10" s="21">
        <v>0.37130802869796747</v>
      </c>
      <c r="I10" s="27" t="s">
        <v>412</v>
      </c>
      <c r="J10" s="27" t="s">
        <v>522</v>
      </c>
      <c r="K10" s="21">
        <v>0.3731343150138855</v>
      </c>
      <c r="L10" s="21">
        <v>0.41791045665740972</v>
      </c>
      <c r="M10" s="21">
        <v>0.72222220897674561</v>
      </c>
      <c r="N10" s="21">
        <v>0.42500001192092901</v>
      </c>
      <c r="O10" s="21">
        <v>0.97674417495727539</v>
      </c>
      <c r="P10" s="21">
        <v>0.68354427814483643</v>
      </c>
      <c r="Q10" s="21">
        <v>0.55686181783676147</v>
      </c>
      <c r="R10" s="21">
        <v>0.25511005520820618</v>
      </c>
    </row>
    <row r="11" spans="1:18" s="7" customFormat="1" x14ac:dyDescent="0.45">
      <c r="A11" s="7" t="s">
        <v>394</v>
      </c>
      <c r="B11" s="7" t="str">
        <f>VLOOKUP(C11,'Organisation names'!$B$4:$D$130,3,FALSE)</f>
        <v>Northern</v>
      </c>
      <c r="C11" s="7" t="s">
        <v>10</v>
      </c>
      <c r="D11" s="7" t="str">
        <f>VLOOKUP(C11,'Organisation names'!$B$4:$D$130,2,FALSE)</f>
        <v>South Tyneside and Sunderland NHS Foundation Trust</v>
      </c>
      <c r="E11" s="72">
        <v>149</v>
      </c>
      <c r="F11" s="72">
        <v>34</v>
      </c>
      <c r="G11" s="74" t="s">
        <v>135</v>
      </c>
      <c r="H11" s="21">
        <v>0.78523492813110352</v>
      </c>
      <c r="I11" s="27" t="s">
        <v>413</v>
      </c>
      <c r="J11" s="74" t="s">
        <v>135</v>
      </c>
      <c r="K11" s="21">
        <v>0.58823531866073608</v>
      </c>
      <c r="L11" s="21">
        <v>0.73529410362243652</v>
      </c>
      <c r="M11" s="21">
        <v>0.3333333432674408</v>
      </c>
      <c r="N11" s="21">
        <v>0.125</v>
      </c>
      <c r="O11" s="21">
        <v>0.6600000262260437</v>
      </c>
      <c r="P11" s="21">
        <v>0.33557048439979548</v>
      </c>
      <c r="Q11" s="21">
        <v>0.47629934549331671</v>
      </c>
      <c r="R11" s="21">
        <v>0.2358047962188721</v>
      </c>
    </row>
    <row r="12" spans="1:18" s="7" customFormat="1" x14ac:dyDescent="0.45">
      <c r="A12" s="7" t="s">
        <v>394</v>
      </c>
      <c r="B12" s="7" t="str">
        <f>VLOOKUP(C12,'Organisation names'!$B$4:$D$130,3,FALSE)</f>
        <v>Wessex</v>
      </c>
      <c r="C12" s="7" t="s">
        <v>11</v>
      </c>
      <c r="D12" s="7" t="str">
        <f>VLOOKUP(C12,'Organisation names'!$B$4:$D$130,2,FALSE)</f>
        <v>University Hospitals Dorset NHS Foundation Trust</v>
      </c>
      <c r="E12" s="72">
        <v>260</v>
      </c>
      <c r="F12" s="72">
        <v>78</v>
      </c>
      <c r="G12" s="72">
        <v>26</v>
      </c>
      <c r="H12" s="21">
        <v>0.92692309617996216</v>
      </c>
      <c r="I12" s="27" t="s">
        <v>414</v>
      </c>
      <c r="J12" s="27" t="s">
        <v>523</v>
      </c>
      <c r="K12" s="21">
        <v>0.55128204822540283</v>
      </c>
      <c r="L12" s="21">
        <v>0.66666668653488159</v>
      </c>
      <c r="M12" s="21">
        <v>0.43999999761581421</v>
      </c>
      <c r="N12" s="21">
        <v>0.2040816396474838</v>
      </c>
      <c r="O12" s="21">
        <v>0.92592591047286987</v>
      </c>
      <c r="P12" s="21">
        <v>0.52307695150375366</v>
      </c>
      <c r="Q12" s="21">
        <v>0.54906374216079712</v>
      </c>
      <c r="R12" s="21">
        <v>0.22060245275497439</v>
      </c>
    </row>
    <row r="13" spans="1:18" s="7" customFormat="1" x14ac:dyDescent="0.45">
      <c r="A13" s="7" t="s">
        <v>394</v>
      </c>
      <c r="B13" s="7" t="str">
        <f>VLOOKUP(C13,'Organisation names'!$B$4:$D$130,3,FALSE)</f>
        <v>Wessex</v>
      </c>
      <c r="C13" s="7" t="s">
        <v>12</v>
      </c>
      <c r="D13" s="7" t="str">
        <f>VLOOKUP(C13,'Organisation names'!$B$4:$D$130,2,FALSE)</f>
        <v>Isle Of Wight NHS Trust</v>
      </c>
      <c r="E13" s="72">
        <v>53</v>
      </c>
      <c r="F13" s="72">
        <v>17</v>
      </c>
      <c r="G13" s="74" t="s">
        <v>135</v>
      </c>
      <c r="H13" s="21">
        <v>0.84905660152435303</v>
      </c>
      <c r="I13" s="27" t="s">
        <v>415</v>
      </c>
      <c r="J13" s="74" t="s">
        <v>135</v>
      </c>
      <c r="K13" s="21">
        <v>0.64705884456634521</v>
      </c>
      <c r="L13" s="21">
        <v>0.70588237047195435</v>
      </c>
      <c r="M13" s="21">
        <v>0.34782609343528748</v>
      </c>
      <c r="N13" s="21">
        <v>0.2083333283662796</v>
      </c>
      <c r="O13" s="21">
        <v>1</v>
      </c>
      <c r="P13" s="21">
        <v>0.49056604504585272</v>
      </c>
      <c r="Q13" s="21">
        <v>0.46897602081298828</v>
      </c>
      <c r="R13" s="21">
        <v>0.31157472729682922</v>
      </c>
    </row>
    <row r="14" spans="1:18" s="7" customFormat="1" x14ac:dyDescent="0.45">
      <c r="A14" s="7" t="s">
        <v>394</v>
      </c>
      <c r="B14" s="7" t="str">
        <f>VLOOKUP(C14,'Organisation names'!$B$4:$D$130,3,FALSE)</f>
        <v>North East London</v>
      </c>
      <c r="C14" s="7" t="s">
        <v>13</v>
      </c>
      <c r="D14" s="7" t="str">
        <f>VLOOKUP(C14,'Organisation names'!$B$4:$D$130,2,FALSE)</f>
        <v>Barts Health NHS Trust</v>
      </c>
      <c r="E14" s="72">
        <v>181</v>
      </c>
      <c r="F14" s="72">
        <v>49</v>
      </c>
      <c r="G14" s="72">
        <v>22</v>
      </c>
      <c r="H14" s="21">
        <v>0.76795578002929688</v>
      </c>
      <c r="I14" s="27" t="s">
        <v>416</v>
      </c>
      <c r="J14" s="27" t="s">
        <v>524</v>
      </c>
      <c r="K14" s="21">
        <v>0.4285714328289032</v>
      </c>
      <c r="L14" s="21">
        <v>0.48979592323303223</v>
      </c>
      <c r="M14" s="21">
        <v>0.62903225421905518</v>
      </c>
      <c r="N14" s="21">
        <v>0.32051283121109009</v>
      </c>
      <c r="O14" s="46" t="s">
        <v>135</v>
      </c>
      <c r="P14" s="21">
        <v>0.57458561658859253</v>
      </c>
      <c r="Q14" s="21">
        <v>0.52934390306472778</v>
      </c>
      <c r="R14" s="21">
        <v>0.29787933826446528</v>
      </c>
    </row>
    <row r="15" spans="1:18" s="7" customFormat="1" x14ac:dyDescent="0.45">
      <c r="A15" s="7" t="s">
        <v>394</v>
      </c>
      <c r="B15" s="7" t="str">
        <f>VLOOKUP(C15,'Organisation names'!$B$4:$D$130,3,FALSE)</f>
        <v>RM Partners</v>
      </c>
      <c r="C15" s="7" t="s">
        <v>14</v>
      </c>
      <c r="D15" s="7" t="str">
        <f>VLOOKUP(C15,'Organisation names'!$B$4:$D$130,2,FALSE)</f>
        <v>London North West University Healthcare NHS Trust</v>
      </c>
      <c r="E15" s="72">
        <v>121</v>
      </c>
      <c r="F15" s="72">
        <v>26</v>
      </c>
      <c r="G15" s="72">
        <v>12</v>
      </c>
      <c r="H15" s="21">
        <v>0.71900826692581177</v>
      </c>
      <c r="I15" s="27" t="s">
        <v>417</v>
      </c>
      <c r="J15" s="27" t="s">
        <v>525</v>
      </c>
      <c r="K15" s="21">
        <v>0.57692307233810425</v>
      </c>
      <c r="L15" s="21">
        <v>0.69230771064758301</v>
      </c>
      <c r="M15" s="21">
        <v>0.39130434393882751</v>
      </c>
      <c r="N15" s="21">
        <v>0.30769231915473938</v>
      </c>
      <c r="O15" s="21">
        <v>0.98684209585189819</v>
      </c>
      <c r="P15" s="21">
        <v>0.39669421315193182</v>
      </c>
      <c r="Q15" s="21">
        <v>0.56614333391189575</v>
      </c>
      <c r="R15" s="21">
        <v>0.40508696436882019</v>
      </c>
    </row>
    <row r="16" spans="1:18" s="7" customFormat="1" x14ac:dyDescent="0.45">
      <c r="A16" s="7" t="s">
        <v>394</v>
      </c>
      <c r="B16" s="7" t="str">
        <f>VLOOKUP(C16,'Organisation names'!$B$4:$D$130,3,FALSE)</f>
        <v>Surrey and Sussex</v>
      </c>
      <c r="C16" s="7" t="s">
        <v>15</v>
      </c>
      <c r="D16" s="7" t="str">
        <f>VLOOKUP(C16,'Organisation names'!$B$4:$D$130,2,FALSE)</f>
        <v>Royal Surrey County Hospital NHS Foundation Trust</v>
      </c>
      <c r="E16" s="72">
        <v>199</v>
      </c>
      <c r="F16" s="72">
        <v>50</v>
      </c>
      <c r="G16" s="72">
        <v>30</v>
      </c>
      <c r="H16" s="21">
        <v>0.7839195728302002</v>
      </c>
      <c r="I16" s="27" t="s">
        <v>418</v>
      </c>
      <c r="J16" s="27" t="s">
        <v>526</v>
      </c>
      <c r="K16" s="21">
        <v>0.54000002145767212</v>
      </c>
      <c r="L16" s="21">
        <v>0.60000002384185791</v>
      </c>
      <c r="M16" s="21">
        <v>0.70769232511520386</v>
      </c>
      <c r="N16" s="21">
        <v>0.37931033968925482</v>
      </c>
      <c r="O16" s="21">
        <v>0.98876404762268066</v>
      </c>
      <c r="P16" s="21">
        <v>0.71356785297393799</v>
      </c>
      <c r="Q16" s="21">
        <v>0.61451715230941772</v>
      </c>
      <c r="R16" s="21">
        <v>0.3004508912563324</v>
      </c>
    </row>
    <row r="17" spans="1:18" s="7" customFormat="1" x14ac:dyDescent="0.45">
      <c r="A17" s="7" t="s">
        <v>394</v>
      </c>
      <c r="B17" s="7" t="str">
        <f>VLOOKUP(C17,'Organisation names'!$B$4:$D$130,3,FALSE)</f>
        <v>Somerset, Wiltshire, Avon and Gloucestershire</v>
      </c>
      <c r="C17" s="7" t="s">
        <v>16</v>
      </c>
      <c r="D17" s="7" t="str">
        <f>VLOOKUP(C17,'Organisation names'!$B$4:$D$130,2,FALSE)</f>
        <v>University Hospitals Bristol and Weston NHS Foundation Trust</v>
      </c>
      <c r="E17" s="72">
        <v>205</v>
      </c>
      <c r="F17" s="72">
        <v>61</v>
      </c>
      <c r="G17" s="72">
        <v>24</v>
      </c>
      <c r="H17" s="21">
        <v>0.91219514608383179</v>
      </c>
      <c r="I17" s="27" t="s">
        <v>419</v>
      </c>
      <c r="J17" s="27" t="s">
        <v>527</v>
      </c>
      <c r="K17" s="21">
        <v>0.60655736923217773</v>
      </c>
      <c r="L17" s="21">
        <v>0.7049180269241333</v>
      </c>
      <c r="M17" s="21">
        <v>0.65789473056793213</v>
      </c>
      <c r="N17" s="21">
        <v>0.2800000011920929</v>
      </c>
      <c r="O17" s="21">
        <v>0.93333333730697632</v>
      </c>
      <c r="P17" s="21">
        <v>0.65365850925445557</v>
      </c>
      <c r="Q17" s="21">
        <v>0.53079169988632202</v>
      </c>
      <c r="R17" s="21">
        <v>0.2274182587862015</v>
      </c>
    </row>
    <row r="18" spans="1:18" s="7" customFormat="1" x14ac:dyDescent="0.45">
      <c r="A18" s="7" t="s">
        <v>394</v>
      </c>
      <c r="B18" s="7" t="str">
        <f>VLOOKUP(C18,'Organisation names'!$B$4:$D$130,3,FALSE)</f>
        <v>Peninsula</v>
      </c>
      <c r="C18" s="7" t="s">
        <v>17</v>
      </c>
      <c r="D18" s="7" t="str">
        <f>VLOOKUP(C18,'Organisation names'!$B$4:$D$130,2,FALSE)</f>
        <v>Torbay and South Devon NHS Foundation Trust</v>
      </c>
      <c r="E18" s="72">
        <v>128</v>
      </c>
      <c r="F18" s="72">
        <v>37</v>
      </c>
      <c r="G18" s="72">
        <v>18</v>
      </c>
      <c r="H18" s="21">
        <v>0.7265625</v>
      </c>
      <c r="I18" s="27" t="s">
        <v>420</v>
      </c>
      <c r="J18" s="27" t="s">
        <v>528</v>
      </c>
      <c r="K18" s="21">
        <v>0.59459459781646729</v>
      </c>
      <c r="L18" s="21">
        <v>0.75675678253173828</v>
      </c>
      <c r="M18" s="21">
        <v>0.4444444477558136</v>
      </c>
      <c r="N18" s="21">
        <v>0.27692309021949768</v>
      </c>
      <c r="O18" s="21">
        <v>0.98507463932037354</v>
      </c>
      <c r="P18" s="21">
        <v>0.53125</v>
      </c>
      <c r="Q18" s="21">
        <v>0.51941347122192383</v>
      </c>
      <c r="R18" s="21">
        <v>0.2270496487617493</v>
      </c>
    </row>
    <row r="19" spans="1:18" s="7" customFormat="1" x14ac:dyDescent="0.45">
      <c r="A19" s="7" t="s">
        <v>394</v>
      </c>
      <c r="B19" s="7" t="str">
        <f>VLOOKUP(C19,'Organisation names'!$B$4:$D$130,3,FALSE)</f>
        <v>West Yorkshire and Harrogate</v>
      </c>
      <c r="C19" s="7" t="s">
        <v>18</v>
      </c>
      <c r="D19" s="7" t="str">
        <f>VLOOKUP(C19,'Organisation names'!$B$4:$D$130,2,FALSE)</f>
        <v>Bradford Teaching Hospitals NHS Foundation Trust</v>
      </c>
      <c r="E19" s="72">
        <v>91</v>
      </c>
      <c r="F19" s="72">
        <v>25</v>
      </c>
      <c r="G19" s="72">
        <v>19</v>
      </c>
      <c r="H19" s="21">
        <v>0.8571428656578064</v>
      </c>
      <c r="I19" s="27" t="s">
        <v>421</v>
      </c>
      <c r="J19" s="27" t="s">
        <v>529</v>
      </c>
      <c r="K19" s="21">
        <v>0.47999998927116388</v>
      </c>
      <c r="L19" s="21">
        <v>0.72000002861022949</v>
      </c>
      <c r="M19" s="21">
        <v>0.61290323734283447</v>
      </c>
      <c r="N19" s="21">
        <v>0.41304346919059748</v>
      </c>
      <c r="O19" s="21">
        <v>0.95890408754348755</v>
      </c>
      <c r="P19" s="21">
        <v>0.60439562797546387</v>
      </c>
      <c r="Q19" s="21">
        <v>0.5355258584022522</v>
      </c>
      <c r="R19" s="21">
        <v>0.20287954807281491</v>
      </c>
    </row>
    <row r="20" spans="1:18" s="7" customFormat="1" x14ac:dyDescent="0.45">
      <c r="A20" s="7" t="s">
        <v>394</v>
      </c>
      <c r="B20" s="7" t="str">
        <f>VLOOKUP(C20,'Organisation names'!$B$4:$D$130,3,FALSE)</f>
        <v>East of England</v>
      </c>
      <c r="C20" s="7" t="s">
        <v>19</v>
      </c>
      <c r="D20" s="7" t="str">
        <f>VLOOKUP(C20,'Organisation names'!$B$4:$D$130,2,FALSE)</f>
        <v>Mid and South Essex NHS Foundation Trust</v>
      </c>
      <c r="E20" s="72">
        <v>324</v>
      </c>
      <c r="F20" s="72">
        <v>103</v>
      </c>
      <c r="G20" s="72">
        <v>29</v>
      </c>
      <c r="H20" s="21">
        <v>0.80864197015762329</v>
      </c>
      <c r="I20" s="27" t="s">
        <v>422</v>
      </c>
      <c r="J20" s="27" t="s">
        <v>530</v>
      </c>
      <c r="K20" s="21">
        <v>0.55339807271957397</v>
      </c>
      <c r="L20" s="21">
        <v>0.67961162328720093</v>
      </c>
      <c r="M20" s="21">
        <v>0.35064935684204102</v>
      </c>
      <c r="N20" s="21">
        <v>0.20129869878292081</v>
      </c>
      <c r="O20" s="21">
        <v>1</v>
      </c>
      <c r="P20" s="21">
        <v>0.45987653732299799</v>
      </c>
      <c r="Q20" s="21">
        <v>0.54858821630477905</v>
      </c>
      <c r="R20" s="21">
        <v>0.2395966500043869</v>
      </c>
    </row>
    <row r="21" spans="1:18" s="7" customFormat="1" x14ac:dyDescent="0.45">
      <c r="A21" s="7" t="s">
        <v>394</v>
      </c>
      <c r="B21" s="7" t="str">
        <f>VLOOKUP(C21,'Organisation names'!$B$4:$D$130,3,FALSE)</f>
        <v>North Central London</v>
      </c>
      <c r="C21" s="7" t="s">
        <v>20</v>
      </c>
      <c r="D21" s="7" t="str">
        <f>VLOOKUP(C21,'Organisation names'!$B$4:$D$130,2,FALSE)</f>
        <v>Royal Free London NHS Foundation Trust</v>
      </c>
      <c r="E21" s="72">
        <v>348</v>
      </c>
      <c r="F21" s="72">
        <v>110</v>
      </c>
      <c r="G21" s="72">
        <v>71</v>
      </c>
      <c r="H21" s="21">
        <v>0.7183908224105835</v>
      </c>
      <c r="I21" s="27" t="s">
        <v>423</v>
      </c>
      <c r="J21" s="27" t="s">
        <v>531</v>
      </c>
      <c r="K21" s="21">
        <v>0.5</v>
      </c>
      <c r="L21" s="21">
        <v>0.5727272629737854</v>
      </c>
      <c r="M21" s="21">
        <v>0.875</v>
      </c>
      <c r="N21" s="21">
        <v>0.56790125370025635</v>
      </c>
      <c r="O21" s="21">
        <v>0.94736844301223755</v>
      </c>
      <c r="P21" s="21">
        <v>0.64655172824859619</v>
      </c>
      <c r="Q21" s="21">
        <v>0.5512312650680542</v>
      </c>
      <c r="R21" s="21">
        <v>0.28661778569221502</v>
      </c>
    </row>
    <row r="22" spans="1:18" s="7" customFormat="1" x14ac:dyDescent="0.45">
      <c r="A22" s="7" t="s">
        <v>394</v>
      </c>
      <c r="B22" s="7" t="str">
        <f>VLOOKUP(C22,'Organisation names'!$B$4:$D$130,3,FALSE)</f>
        <v>RM Partners</v>
      </c>
      <c r="C22" s="7" t="s">
        <v>21</v>
      </c>
      <c r="D22" s="7" t="str">
        <f>VLOOKUP(C22,'Organisation names'!$B$4:$D$130,2,FALSE)</f>
        <v>The Hillingdon Hospitals NHS Foundation Trust</v>
      </c>
      <c r="E22" s="72">
        <v>55</v>
      </c>
      <c r="F22" s="72">
        <v>13</v>
      </c>
      <c r="G22" s="74" t="s">
        <v>135</v>
      </c>
      <c r="H22" s="21">
        <v>0.98181819915771484</v>
      </c>
      <c r="I22" s="27" t="s">
        <v>424</v>
      </c>
      <c r="J22" s="74" t="s">
        <v>135</v>
      </c>
      <c r="K22" s="21">
        <v>0.53846156597137451</v>
      </c>
      <c r="L22" s="21">
        <v>0.61538463830947876</v>
      </c>
      <c r="M22" s="46" t="s">
        <v>135</v>
      </c>
      <c r="N22" s="21">
        <v>0.10000000149011611</v>
      </c>
      <c r="O22" s="21">
        <v>0.97674417495727539</v>
      </c>
      <c r="P22" s="21">
        <v>0.27272728085517878</v>
      </c>
      <c r="Q22" s="21">
        <v>0.54422307014465332</v>
      </c>
      <c r="R22" s="21">
        <v>0.2477415353059769</v>
      </c>
    </row>
    <row r="23" spans="1:18" s="7" customFormat="1" x14ac:dyDescent="0.45">
      <c r="A23" s="7" t="s">
        <v>394</v>
      </c>
      <c r="B23" s="7" t="str">
        <f>VLOOKUP(C23,'Organisation names'!$B$4:$D$130,3,FALSE)</f>
        <v>RM Partners</v>
      </c>
      <c r="C23" s="7" t="s">
        <v>22</v>
      </c>
      <c r="D23" s="7" t="str">
        <f>VLOOKUP(C23,'Organisation names'!$B$4:$D$130,2,FALSE)</f>
        <v>Kingston and Richmond NHS Foundation Trust</v>
      </c>
      <c r="E23" s="72">
        <v>51</v>
      </c>
      <c r="F23" s="72">
        <v>12</v>
      </c>
      <c r="G23" s="74" t="s">
        <v>135</v>
      </c>
      <c r="H23" s="21">
        <v>0.60784316062927246</v>
      </c>
      <c r="I23" s="27" t="s">
        <v>425</v>
      </c>
      <c r="J23" s="74" t="s">
        <v>135</v>
      </c>
      <c r="K23" s="21">
        <v>0.5</v>
      </c>
      <c r="L23" s="21">
        <v>0.66666668653488159</v>
      </c>
      <c r="M23" s="46" t="s">
        <v>135</v>
      </c>
      <c r="N23" s="21">
        <v>0.2916666567325592</v>
      </c>
      <c r="O23" s="21">
        <v>0.89999997615814209</v>
      </c>
      <c r="P23" s="21">
        <v>0.37254902720451349</v>
      </c>
      <c r="Q23" s="21">
        <v>0.54514104127883911</v>
      </c>
      <c r="R23" s="21">
        <v>0.30100852251052862</v>
      </c>
    </row>
    <row r="24" spans="1:18" s="7" customFormat="1" x14ac:dyDescent="0.45">
      <c r="A24" s="7" t="s">
        <v>394</v>
      </c>
      <c r="B24" s="7" t="str">
        <f>VLOOKUP(C24,'Organisation names'!$B$4:$D$130,3,FALSE)</f>
        <v>Wessex</v>
      </c>
      <c r="C24" s="7" t="s">
        <v>23</v>
      </c>
      <c r="D24" s="7" t="str">
        <f>VLOOKUP(C24,'Organisation names'!$B$4:$D$130,2,FALSE)</f>
        <v>Dorset County Hospital NHS Foundation Trust</v>
      </c>
      <c r="E24" s="72">
        <v>79</v>
      </c>
      <c r="F24" s="72">
        <v>36</v>
      </c>
      <c r="G24" s="72">
        <v>10</v>
      </c>
      <c r="H24" s="21">
        <v>0.92405062913894653</v>
      </c>
      <c r="I24" s="27" t="s">
        <v>426</v>
      </c>
      <c r="J24" s="27" t="s">
        <v>532</v>
      </c>
      <c r="K24" s="21">
        <v>0.5</v>
      </c>
      <c r="L24" s="21">
        <v>0.55555558204650879</v>
      </c>
      <c r="M24" s="21">
        <v>0.58064514398574829</v>
      </c>
      <c r="N24" s="21">
        <v>0.1428571492433548</v>
      </c>
      <c r="O24" s="21">
        <v>0.81818181276321411</v>
      </c>
      <c r="P24" s="21">
        <v>0.67088609933853149</v>
      </c>
      <c r="Q24" s="21">
        <v>0.56314468383789063</v>
      </c>
      <c r="R24" s="21">
        <v>0.2347705811262131</v>
      </c>
    </row>
    <row r="25" spans="1:18" s="7" customFormat="1" x14ac:dyDescent="0.45">
      <c r="A25" s="7" t="s">
        <v>394</v>
      </c>
      <c r="B25" s="7" t="str">
        <f>VLOOKUP(C25,'Organisation names'!$B$4:$D$130,3,FALSE)</f>
        <v>West Midlands</v>
      </c>
      <c r="C25" s="7" t="s">
        <v>24</v>
      </c>
      <c r="D25" s="7" t="str">
        <f>VLOOKUP(C25,'Organisation names'!$B$4:$D$130,2,FALSE)</f>
        <v>Walsall Healthcare NHS Trust</v>
      </c>
      <c r="E25" s="72">
        <v>64</v>
      </c>
      <c r="F25" s="74" t="s">
        <v>135</v>
      </c>
      <c r="G25" s="74" t="s">
        <v>135</v>
      </c>
      <c r="H25" s="21">
        <v>0.765625</v>
      </c>
      <c r="I25" s="74" t="s">
        <v>135</v>
      </c>
      <c r="J25" s="74" t="s">
        <v>135</v>
      </c>
      <c r="K25" s="74" t="s">
        <v>135</v>
      </c>
      <c r="L25" s="74" t="s">
        <v>135</v>
      </c>
      <c r="M25" s="21">
        <v>0.8461538553237915</v>
      </c>
      <c r="N25" s="21">
        <v>0.13636364042758939</v>
      </c>
      <c r="O25" s="21">
        <v>1</v>
      </c>
      <c r="P25" s="21">
        <v>0.5</v>
      </c>
      <c r="Q25" s="21">
        <v>0.51206439733505249</v>
      </c>
      <c r="R25" s="21">
        <v>0.18636564910411829</v>
      </c>
    </row>
    <row r="26" spans="1:18" s="7" customFormat="1" x14ac:dyDescent="0.45">
      <c r="A26" s="7" t="s">
        <v>394</v>
      </c>
      <c r="B26" s="7" t="str">
        <f>VLOOKUP(C26,'Organisation names'!$B$4:$D$130,3,FALSE)</f>
        <v>Cheshire and Merseyside</v>
      </c>
      <c r="C26" s="7" t="s">
        <v>25</v>
      </c>
      <c r="D26" s="7" t="str">
        <f>VLOOKUP(C26,'Organisation names'!$B$4:$D$130,2,FALSE)</f>
        <v>Wirral University Teaching Hospital NHS Foundation Trust</v>
      </c>
      <c r="E26" s="72">
        <v>107</v>
      </c>
      <c r="F26" s="72">
        <v>18</v>
      </c>
      <c r="G26" s="74" t="s">
        <v>135</v>
      </c>
      <c r="H26" s="21">
        <v>0.95327103137969971</v>
      </c>
      <c r="I26" s="27" t="s">
        <v>427</v>
      </c>
      <c r="J26" s="74" t="s">
        <v>135</v>
      </c>
      <c r="K26" s="21">
        <v>0.55555558204650879</v>
      </c>
      <c r="L26" s="21">
        <v>0.6111111044883728</v>
      </c>
      <c r="M26" s="21">
        <v>0.58536583185195923</v>
      </c>
      <c r="N26" s="21">
        <v>0.32727271318435669</v>
      </c>
      <c r="O26" s="21">
        <v>1</v>
      </c>
      <c r="P26" s="21">
        <v>0.77570092678070068</v>
      </c>
      <c r="Q26" s="21">
        <v>0.51176047325134277</v>
      </c>
      <c r="R26" s="21">
        <v>0.34497055411338812</v>
      </c>
    </row>
    <row r="27" spans="1:18" s="7" customFormat="1" x14ac:dyDescent="0.45">
      <c r="A27" s="7" t="s">
        <v>394</v>
      </c>
      <c r="B27" s="7" t="str">
        <f>VLOOKUP(C27,'Organisation names'!$B$4:$D$130,3,FALSE)</f>
        <v>Cheshire and Merseyside</v>
      </c>
      <c r="C27" s="7" t="s">
        <v>26</v>
      </c>
      <c r="D27" s="7" t="str">
        <f>VLOOKUP(C27,'Organisation names'!$B$4:$D$130,2,FALSE)</f>
        <v>Mersey And West Lancashire Teaching Hospitals NHS Trust</v>
      </c>
      <c r="E27" s="72">
        <v>145</v>
      </c>
      <c r="F27" s="72">
        <v>35</v>
      </c>
      <c r="G27" s="72">
        <v>12</v>
      </c>
      <c r="H27" s="21">
        <v>0.8689655065536499</v>
      </c>
      <c r="I27" s="27" t="s">
        <v>428</v>
      </c>
      <c r="J27" s="27" t="s">
        <v>533</v>
      </c>
      <c r="K27" s="21">
        <v>0.4285714328289032</v>
      </c>
      <c r="L27" s="21">
        <v>0.45714285969734192</v>
      </c>
      <c r="M27" s="21">
        <v>0.47058823704719538</v>
      </c>
      <c r="N27" s="21">
        <v>0.2021276652812958</v>
      </c>
      <c r="O27" s="21">
        <v>0.90721648931503296</v>
      </c>
      <c r="P27" s="21">
        <v>0.51724135875701904</v>
      </c>
      <c r="Q27" s="21">
        <v>0.48119476437568659</v>
      </c>
      <c r="R27" s="21">
        <v>0.2129541486501694</v>
      </c>
    </row>
    <row r="28" spans="1:18" s="7" customFormat="1" x14ac:dyDescent="0.45">
      <c r="A28" s="7" t="s">
        <v>394</v>
      </c>
      <c r="B28" s="7" t="str">
        <f>VLOOKUP(C28,'Organisation names'!$B$4:$D$130,3,FALSE)</f>
        <v>Cheshire and Merseyside</v>
      </c>
      <c r="C28" s="7" t="s">
        <v>27</v>
      </c>
      <c r="D28" s="7" t="str">
        <f>VLOOKUP(C28,'Organisation names'!$B$4:$D$130,2,FALSE)</f>
        <v>Mid Cheshire Hospitals NHS Foundation Trust</v>
      </c>
      <c r="E28" s="72">
        <v>96</v>
      </c>
      <c r="F28" s="72">
        <v>41</v>
      </c>
      <c r="G28" s="72">
        <v>11</v>
      </c>
      <c r="H28" s="21">
        <v>0.92708331346511841</v>
      </c>
      <c r="I28" s="27" t="s">
        <v>429</v>
      </c>
      <c r="J28" s="27" t="s">
        <v>534</v>
      </c>
      <c r="K28" s="21">
        <v>0.63414633274078369</v>
      </c>
      <c r="L28" s="21">
        <v>0.73170733451843262</v>
      </c>
      <c r="M28" s="21">
        <v>0.56666666269302368</v>
      </c>
      <c r="N28" s="21">
        <v>0.22413793206214899</v>
      </c>
      <c r="O28" s="21">
        <v>1</v>
      </c>
      <c r="P28" s="21">
        <v>0.64583331346511841</v>
      </c>
      <c r="Q28" s="21">
        <v>0.5685194730758667</v>
      </c>
      <c r="R28" s="21">
        <v>0.2415228337049484</v>
      </c>
    </row>
    <row r="29" spans="1:18" s="7" customFormat="1" x14ac:dyDescent="0.45">
      <c r="A29" s="7" t="s">
        <v>394</v>
      </c>
      <c r="B29" s="7" t="str">
        <f>VLOOKUP(C29,'Organisation names'!$B$4:$D$130,3,FALSE)</f>
        <v>East of England</v>
      </c>
      <c r="C29" s="7" t="s">
        <v>29</v>
      </c>
      <c r="D29" s="7" t="str">
        <f>VLOOKUP(C29,'Organisation names'!$B$4:$D$130,2,FALSE)</f>
        <v>Bedfordshire Hospitals NHS Foundation Trust</v>
      </c>
      <c r="E29" s="72">
        <v>137</v>
      </c>
      <c r="F29" s="72">
        <v>37</v>
      </c>
      <c r="G29" s="72">
        <v>14</v>
      </c>
      <c r="H29" s="21">
        <v>0.63503646850585938</v>
      </c>
      <c r="I29" s="27" t="s">
        <v>430</v>
      </c>
      <c r="J29" s="27" t="s">
        <v>535</v>
      </c>
      <c r="K29" s="21">
        <v>0.51351350545883179</v>
      </c>
      <c r="L29" s="21">
        <v>0.64864861965179443</v>
      </c>
      <c r="M29" s="21">
        <v>0.26666668057441711</v>
      </c>
      <c r="N29" s="21">
        <v>0.26865673065185552</v>
      </c>
      <c r="O29" s="21">
        <v>0.72602736949920654</v>
      </c>
      <c r="P29" s="21">
        <v>0.36496350169181818</v>
      </c>
      <c r="Q29" s="21">
        <v>0.48494112491607672</v>
      </c>
      <c r="R29" s="21">
        <v>0.1511622071266174</v>
      </c>
    </row>
    <row r="30" spans="1:18" s="7" customFormat="1" x14ac:dyDescent="0.45">
      <c r="A30" s="7" t="s">
        <v>394</v>
      </c>
      <c r="B30" s="7" t="str">
        <f>VLOOKUP(C30,'Organisation names'!$B$4:$D$130,3,FALSE)</f>
        <v>Humber and North Yorkshire</v>
      </c>
      <c r="C30" s="7" t="s">
        <v>30</v>
      </c>
      <c r="D30" s="7" t="str">
        <f>VLOOKUP(C30,'Organisation names'!$B$4:$D$130,2,FALSE)</f>
        <v>York and Scarborough Teaching Hospitals NHS Foundation Trust</v>
      </c>
      <c r="E30" s="72">
        <v>187</v>
      </c>
      <c r="F30" s="72">
        <v>47</v>
      </c>
      <c r="G30" s="72">
        <v>16</v>
      </c>
      <c r="H30" s="21">
        <v>0.8021390438079834</v>
      </c>
      <c r="I30" s="27" t="s">
        <v>431</v>
      </c>
      <c r="J30" s="27" t="s">
        <v>536</v>
      </c>
      <c r="K30" s="21">
        <v>0.40425533056259161</v>
      </c>
      <c r="L30" s="21">
        <v>0.48936170339584351</v>
      </c>
      <c r="M30" s="21">
        <v>0.5283018946647644</v>
      </c>
      <c r="N30" s="21">
        <v>0.18556700646877289</v>
      </c>
      <c r="O30" s="21">
        <v>0.86597937345504761</v>
      </c>
      <c r="P30" s="21">
        <v>0.58823531866073608</v>
      </c>
      <c r="Q30" s="21">
        <v>0.5222969651222229</v>
      </c>
      <c r="R30" s="21">
        <v>0.21213820576667791</v>
      </c>
    </row>
    <row r="31" spans="1:18" s="7" customFormat="1" x14ac:dyDescent="0.45">
      <c r="A31" s="7" t="s">
        <v>394</v>
      </c>
      <c r="B31" s="7" t="str">
        <f>VLOOKUP(C31,'Organisation names'!$B$4:$D$130,3,FALSE)</f>
        <v>West Yorkshire and Harrogate</v>
      </c>
      <c r="C31" s="7" t="s">
        <v>31</v>
      </c>
      <c r="D31" s="7" t="str">
        <f>VLOOKUP(C31,'Organisation names'!$B$4:$D$130,2,FALSE)</f>
        <v>Harrogate and District NHS Foundation Trust</v>
      </c>
      <c r="E31" s="72">
        <v>64</v>
      </c>
      <c r="F31" s="72">
        <v>20</v>
      </c>
      <c r="G31" s="72">
        <v>10</v>
      </c>
      <c r="H31" s="21">
        <v>0.9375</v>
      </c>
      <c r="I31" s="27" t="s">
        <v>432</v>
      </c>
      <c r="J31" s="27" t="s">
        <v>537</v>
      </c>
      <c r="K31" s="21">
        <v>0.44999998807907099</v>
      </c>
      <c r="L31" s="21">
        <v>0.64999997615814209</v>
      </c>
      <c r="M31" s="21">
        <v>0.6111111044883728</v>
      </c>
      <c r="N31" s="21">
        <v>0.27500000596046448</v>
      </c>
      <c r="O31" s="21">
        <v>0.6875</v>
      </c>
      <c r="P31" s="21">
        <v>0.65625</v>
      </c>
      <c r="Q31" s="21">
        <v>0.54937940835952759</v>
      </c>
      <c r="R31" s="21">
        <v>0.20759892463684079</v>
      </c>
    </row>
    <row r="32" spans="1:18" s="7" customFormat="1" x14ac:dyDescent="0.45">
      <c r="A32" s="7" t="s">
        <v>394</v>
      </c>
      <c r="B32" s="7" t="str">
        <f>VLOOKUP(C32,'Organisation names'!$B$4:$D$130,3,FALSE)</f>
        <v>West Yorkshire and Harrogate</v>
      </c>
      <c r="C32" s="7" t="s">
        <v>32</v>
      </c>
      <c r="D32" s="7" t="str">
        <f>VLOOKUP(C32,'Organisation names'!$B$4:$D$130,2,FALSE)</f>
        <v>Airedale NHS Foundation Trust</v>
      </c>
      <c r="E32" s="72">
        <v>75</v>
      </c>
      <c r="F32" s="72">
        <v>40</v>
      </c>
      <c r="G32" s="72">
        <v>19</v>
      </c>
      <c r="H32" s="21">
        <v>0.87999999523162842</v>
      </c>
      <c r="I32" s="27" t="s">
        <v>433</v>
      </c>
      <c r="J32" s="27" t="s">
        <v>538</v>
      </c>
      <c r="K32" s="21">
        <v>0.625</v>
      </c>
      <c r="L32" s="21">
        <v>0.80000001192092896</v>
      </c>
      <c r="M32" s="21">
        <v>0.56666666269302368</v>
      </c>
      <c r="N32" s="21">
        <v>0.35897436738014221</v>
      </c>
      <c r="O32" s="21">
        <v>0.80303031206130981</v>
      </c>
      <c r="P32" s="21">
        <v>0.69333332777023315</v>
      </c>
      <c r="Q32" s="21">
        <v>0.47878280282020569</v>
      </c>
      <c r="R32" s="21">
        <v>0.1819763779640198</v>
      </c>
    </row>
    <row r="33" spans="1:18" s="7" customFormat="1" x14ac:dyDescent="0.45">
      <c r="A33" s="7" t="s">
        <v>394</v>
      </c>
      <c r="B33" s="7" t="str">
        <f>VLOOKUP(C33,'Organisation names'!$B$4:$D$130,3,FALSE)</f>
        <v>East of England</v>
      </c>
      <c r="C33" s="7" t="s">
        <v>33</v>
      </c>
      <c r="D33" s="7" t="str">
        <f>VLOOKUP(C33,'Organisation names'!$B$4:$D$130,2,FALSE)</f>
        <v>The Queen Elizabeth Hospital, King's Lynn, NHS Foundation Trust</v>
      </c>
      <c r="E33" s="72">
        <v>93</v>
      </c>
      <c r="F33" s="72">
        <v>22</v>
      </c>
      <c r="G33" s="72">
        <v>11</v>
      </c>
      <c r="H33" s="21">
        <v>0.79569894075393677</v>
      </c>
      <c r="I33" s="27" t="s">
        <v>434</v>
      </c>
      <c r="J33" s="27" t="s">
        <v>539</v>
      </c>
      <c r="K33" s="21">
        <v>0.31818181276321411</v>
      </c>
      <c r="L33" s="21">
        <v>0.40909090638160711</v>
      </c>
      <c r="M33" s="21">
        <v>0.41935482621192932</v>
      </c>
      <c r="N33" s="21">
        <v>0.15000000596046451</v>
      </c>
      <c r="O33" s="21">
        <v>0.96296298503875732</v>
      </c>
      <c r="P33" s="21">
        <v>0.53763443231582642</v>
      </c>
      <c r="Q33" s="21">
        <v>0.51322036981582642</v>
      </c>
      <c r="R33" s="21">
        <v>0.20308998227119451</v>
      </c>
    </row>
    <row r="34" spans="1:18" s="7" customFormat="1" x14ac:dyDescent="0.45">
      <c r="A34" s="7" t="s">
        <v>394</v>
      </c>
      <c r="B34" s="7" t="str">
        <f>VLOOKUP(C34,'Organisation names'!$B$4:$D$130,3,FALSE)</f>
        <v>Somerset, Wiltshire, Avon and Gloucestershire</v>
      </c>
      <c r="C34" s="7" t="s">
        <v>34</v>
      </c>
      <c r="D34" s="7" t="str">
        <f>VLOOKUP(C34,'Organisation names'!$B$4:$D$130,2,FALSE)</f>
        <v>Royal United Hospitals Bath NHS Foundation Trust</v>
      </c>
      <c r="E34" s="72">
        <v>127</v>
      </c>
      <c r="F34" s="72">
        <v>42</v>
      </c>
      <c r="G34" s="72">
        <v>15</v>
      </c>
      <c r="H34" s="21">
        <v>0.84251970052719116</v>
      </c>
      <c r="I34" s="27" t="s">
        <v>435</v>
      </c>
      <c r="J34" s="27" t="s">
        <v>540</v>
      </c>
      <c r="K34" s="21">
        <v>0.4523809552192688</v>
      </c>
      <c r="L34" s="21">
        <v>0.5476190447807312</v>
      </c>
      <c r="M34" s="21">
        <v>0.46875</v>
      </c>
      <c r="N34" s="21">
        <v>0.20338982343673709</v>
      </c>
      <c r="O34" s="21">
        <v>0.81481480598449707</v>
      </c>
      <c r="P34" s="21">
        <v>0.55905508995056152</v>
      </c>
      <c r="Q34" s="21">
        <v>0.54156911373138428</v>
      </c>
      <c r="R34" s="21">
        <v>0.21195793151855469</v>
      </c>
    </row>
    <row r="35" spans="1:18" s="7" customFormat="1" x14ac:dyDescent="0.45">
      <c r="A35" s="7" t="s">
        <v>394</v>
      </c>
      <c r="B35" s="7" t="str">
        <f>VLOOKUP(C35,'Organisation names'!$B$4:$D$130,3,FALSE)</f>
        <v>East of England</v>
      </c>
      <c r="C35" s="7" t="s">
        <v>35</v>
      </c>
      <c r="D35" s="7" t="str">
        <f>VLOOKUP(C35,'Organisation names'!$B$4:$D$130,2,FALSE)</f>
        <v>Milton Keynes University Hospital NHS Foundation Trust</v>
      </c>
      <c r="E35" s="72">
        <v>88</v>
      </c>
      <c r="F35" s="72">
        <v>21</v>
      </c>
      <c r="G35" s="72">
        <v>11</v>
      </c>
      <c r="H35" s="21">
        <v>0.85227274894714355</v>
      </c>
      <c r="I35" s="27" t="s">
        <v>436</v>
      </c>
      <c r="J35" s="27" t="s">
        <v>541</v>
      </c>
      <c r="K35" s="21">
        <v>0.61904764175415039</v>
      </c>
      <c r="L35" s="21">
        <v>0.71428573131561279</v>
      </c>
      <c r="M35" s="21">
        <v>0.4285714328289032</v>
      </c>
      <c r="N35" s="21">
        <v>0.31914892792701721</v>
      </c>
      <c r="O35" s="21">
        <v>0.95652174949645996</v>
      </c>
      <c r="P35" s="21">
        <v>0.48863637447357178</v>
      </c>
      <c r="Q35" s="21">
        <v>0.53955841064453125</v>
      </c>
      <c r="R35" s="21">
        <v>0.24840538203716281</v>
      </c>
    </row>
    <row r="36" spans="1:18" s="7" customFormat="1" x14ac:dyDescent="0.45">
      <c r="A36" s="7" t="s">
        <v>394</v>
      </c>
      <c r="B36" s="7" t="str">
        <f>VLOOKUP(C36,'Organisation names'!$B$4:$D$130,3,FALSE)</f>
        <v>East of England</v>
      </c>
      <c r="C36" s="7" t="s">
        <v>36</v>
      </c>
      <c r="D36" s="7" t="str">
        <f>VLOOKUP(C36,'Organisation names'!$B$4:$D$130,2,FALSE)</f>
        <v>East Suffolk and North Essex NHS Foundation Trust</v>
      </c>
      <c r="E36" s="72">
        <v>244</v>
      </c>
      <c r="F36" s="72">
        <v>105</v>
      </c>
      <c r="G36" s="72">
        <v>36</v>
      </c>
      <c r="H36" s="21">
        <v>0.83196723461151123</v>
      </c>
      <c r="I36" s="27" t="s">
        <v>437</v>
      </c>
      <c r="J36" s="27" t="s">
        <v>542</v>
      </c>
      <c r="K36" s="21">
        <v>0.50476193428039551</v>
      </c>
      <c r="L36" s="21">
        <v>0.65714287757873535</v>
      </c>
      <c r="M36" s="21">
        <v>0.44927537441253662</v>
      </c>
      <c r="N36" s="21">
        <v>0.28571429848670959</v>
      </c>
      <c r="O36" s="21">
        <v>0.86301368474960327</v>
      </c>
      <c r="P36" s="21">
        <v>0.46311476826667791</v>
      </c>
      <c r="Q36" s="21">
        <v>0.4902341365814209</v>
      </c>
      <c r="R36" s="21">
        <v>0.22918318212032321</v>
      </c>
    </row>
    <row r="37" spans="1:18" s="7" customFormat="1" x14ac:dyDescent="0.45">
      <c r="A37" s="7" t="s">
        <v>394</v>
      </c>
      <c r="B37" s="7" t="str">
        <f>VLOOKUP(C37,'Organisation names'!$B$4:$D$130,3,FALSE)</f>
        <v>Surrey and Sussex</v>
      </c>
      <c r="C37" s="7" t="s">
        <v>37</v>
      </c>
      <c r="D37" s="7" t="str">
        <f>VLOOKUP(C37,'Organisation names'!$B$4:$D$130,2,FALSE)</f>
        <v>Frimley Health NHS Foundation Trust</v>
      </c>
      <c r="E37" s="72">
        <v>194</v>
      </c>
      <c r="F37" s="72">
        <v>48</v>
      </c>
      <c r="G37" s="72">
        <v>15</v>
      </c>
      <c r="H37" s="21">
        <v>0.86597937345504761</v>
      </c>
      <c r="I37" s="27" t="s">
        <v>438</v>
      </c>
      <c r="J37" s="27" t="s">
        <v>543</v>
      </c>
      <c r="K37" s="21">
        <v>0.66666668653488159</v>
      </c>
      <c r="L37" s="21">
        <v>0.72916668653488159</v>
      </c>
      <c r="M37" s="21">
        <v>0.48936170339584351</v>
      </c>
      <c r="N37" s="21">
        <v>0.19230769574642179</v>
      </c>
      <c r="O37" s="21">
        <v>0.96551722288131714</v>
      </c>
      <c r="P37" s="21">
        <v>0.47938144207000732</v>
      </c>
      <c r="Q37" s="21">
        <v>0.55905431509017944</v>
      </c>
      <c r="R37" s="21">
        <v>0.27258190512657171</v>
      </c>
    </row>
    <row r="38" spans="1:18" s="7" customFormat="1" x14ac:dyDescent="0.45">
      <c r="A38" s="7" t="s">
        <v>394</v>
      </c>
      <c r="B38" s="7" t="str">
        <f>VLOOKUP(C38,'Organisation names'!$B$4:$D$130,3,FALSE)</f>
        <v>Peninsula</v>
      </c>
      <c r="C38" s="7" t="s">
        <v>38</v>
      </c>
      <c r="D38" s="7" t="str">
        <f>VLOOKUP(C38,'Organisation names'!$B$4:$D$130,2,FALSE)</f>
        <v>Royal Cornwall Hospitals NHS Trust</v>
      </c>
      <c r="E38" s="72">
        <v>173</v>
      </c>
      <c r="F38" s="72">
        <v>63</v>
      </c>
      <c r="G38" s="72">
        <v>32</v>
      </c>
      <c r="H38" s="21">
        <v>0.88439303636550903</v>
      </c>
      <c r="I38" s="27" t="s">
        <v>439</v>
      </c>
      <c r="J38" s="27" t="s">
        <v>544</v>
      </c>
      <c r="K38" s="21">
        <v>0.63492065668106079</v>
      </c>
      <c r="L38" s="21">
        <v>0.71428573131561279</v>
      </c>
      <c r="M38" s="21">
        <v>0.57999998331069946</v>
      </c>
      <c r="N38" s="21">
        <v>0.24731183052062991</v>
      </c>
      <c r="O38" s="21">
        <v>0.99166667461395264</v>
      </c>
      <c r="P38" s="21">
        <v>0.36416184902191162</v>
      </c>
      <c r="Q38" s="21">
        <v>0.56192362308502197</v>
      </c>
      <c r="R38" s="21">
        <v>0.23053799569606781</v>
      </c>
    </row>
    <row r="39" spans="1:18" s="7" customFormat="1" x14ac:dyDescent="0.45">
      <c r="A39" s="7" t="s">
        <v>394</v>
      </c>
      <c r="B39" s="7" t="str">
        <f>VLOOKUP(C39,'Organisation names'!$B$4:$D$130,3,FALSE)</f>
        <v>Cheshire and Merseyside</v>
      </c>
      <c r="C39" s="7" t="s">
        <v>39</v>
      </c>
      <c r="D39" s="7" t="str">
        <f>VLOOKUP(C39,'Organisation names'!$B$4:$D$130,2,FALSE)</f>
        <v>Liverpool University Hospitals NHS Foundation Trust</v>
      </c>
      <c r="E39" s="72">
        <v>298</v>
      </c>
      <c r="F39" s="72">
        <v>60</v>
      </c>
      <c r="G39" s="72">
        <v>44</v>
      </c>
      <c r="H39" s="21">
        <v>0.80872482061386108</v>
      </c>
      <c r="I39" s="27" t="s">
        <v>440</v>
      </c>
      <c r="J39" s="27" t="s">
        <v>545</v>
      </c>
      <c r="K39" s="21">
        <v>0.25</v>
      </c>
      <c r="L39" s="21">
        <v>0.36666667461395258</v>
      </c>
      <c r="M39" s="21">
        <v>0.83157896995544434</v>
      </c>
      <c r="N39" s="21">
        <v>0.37719297409057623</v>
      </c>
      <c r="O39" s="21">
        <v>0.96240603923797607</v>
      </c>
      <c r="P39" s="21">
        <v>0.67114096879959106</v>
      </c>
      <c r="Q39" s="21">
        <v>0.51275455951690674</v>
      </c>
      <c r="R39" s="21">
        <v>0.23088106513023379</v>
      </c>
    </row>
    <row r="40" spans="1:18" s="7" customFormat="1" x14ac:dyDescent="0.45">
      <c r="A40" s="7" t="s">
        <v>394</v>
      </c>
      <c r="B40" s="7" t="str">
        <f>VLOOKUP(C40,'Organisation names'!$B$4:$D$130,3,FALSE)</f>
        <v>North East London</v>
      </c>
      <c r="C40" s="7" t="s">
        <v>41</v>
      </c>
      <c r="D40" s="7" t="str">
        <f>VLOOKUP(C40,'Organisation names'!$B$4:$D$130,2,FALSE)</f>
        <v>Barking, Havering and Redbridge University Hospitals NHS Trust</v>
      </c>
      <c r="E40" s="72">
        <v>142</v>
      </c>
      <c r="F40" s="72">
        <v>34</v>
      </c>
      <c r="G40" s="72">
        <v>11</v>
      </c>
      <c r="H40" s="21">
        <v>0.71126759052276611</v>
      </c>
      <c r="I40" s="27" t="s">
        <v>441</v>
      </c>
      <c r="J40" s="27" t="s">
        <v>546</v>
      </c>
      <c r="K40" s="21">
        <v>0.55882352590560913</v>
      </c>
      <c r="L40" s="21">
        <v>0.64705884456634521</v>
      </c>
      <c r="M40" s="21">
        <v>0.45714285969734192</v>
      </c>
      <c r="N40" s="21">
        <v>0.25396826863288879</v>
      </c>
      <c r="O40" s="46" t="s">
        <v>135</v>
      </c>
      <c r="P40" s="21">
        <v>0.36619716882705688</v>
      </c>
      <c r="Q40" s="21">
        <v>0.57143896818161011</v>
      </c>
      <c r="R40" s="21">
        <v>0.21348510682582861</v>
      </c>
    </row>
    <row r="41" spans="1:18" s="7" customFormat="1" x14ac:dyDescent="0.45">
      <c r="A41" s="7" t="s">
        <v>394</v>
      </c>
      <c r="B41" s="7" t="str">
        <f>VLOOKUP(C41,'Organisation names'!$B$4:$D$130,3,FALSE)</f>
        <v>South Yorkshire and Bassetlaw</v>
      </c>
      <c r="C41" s="7" t="s">
        <v>42</v>
      </c>
      <c r="D41" s="7" t="str">
        <f>VLOOKUP(C41,'Organisation names'!$B$4:$D$130,2,FALSE)</f>
        <v>Barnsley Hospital NHS Foundation Trust</v>
      </c>
      <c r="E41" s="72">
        <v>80</v>
      </c>
      <c r="F41" s="72">
        <v>17</v>
      </c>
      <c r="G41" s="74" t="s">
        <v>135</v>
      </c>
      <c r="H41" s="21">
        <v>0.97500002384185791</v>
      </c>
      <c r="I41" s="27" t="s">
        <v>442</v>
      </c>
      <c r="J41" s="74" t="s">
        <v>135</v>
      </c>
      <c r="K41" s="21">
        <v>0.76470589637756348</v>
      </c>
      <c r="L41" s="21">
        <v>0.94117647409439087</v>
      </c>
      <c r="M41" s="21">
        <v>0.32258063554763788</v>
      </c>
      <c r="N41" s="21">
        <v>0.1304347813129425</v>
      </c>
      <c r="O41" s="21">
        <v>1</v>
      </c>
      <c r="P41" s="21">
        <v>0.34999999403953552</v>
      </c>
      <c r="Q41" s="21">
        <v>0.50850206613540649</v>
      </c>
      <c r="R41" s="21">
        <v>0.16638368368148801</v>
      </c>
    </row>
    <row r="42" spans="1:18" s="7" customFormat="1" x14ac:dyDescent="0.45">
      <c r="A42" s="7" t="s">
        <v>394</v>
      </c>
      <c r="B42" s="7" t="str">
        <f>VLOOKUP(C42,'Organisation names'!$B$4:$D$130,3,FALSE)</f>
        <v>South Yorkshire and Bassetlaw</v>
      </c>
      <c r="C42" s="7" t="s">
        <v>43</v>
      </c>
      <c r="D42" s="7" t="str">
        <f>VLOOKUP(C42,'Organisation names'!$B$4:$D$130,2,FALSE)</f>
        <v>The Rotherham NHS Foundation Trust</v>
      </c>
      <c r="E42" s="72">
        <v>68</v>
      </c>
      <c r="F42" s="72">
        <v>17</v>
      </c>
      <c r="G42" s="74" t="s">
        <v>135</v>
      </c>
      <c r="H42" s="21">
        <v>0.85294115543365479</v>
      </c>
      <c r="I42" s="27" t="s">
        <v>443</v>
      </c>
      <c r="J42" s="74" t="s">
        <v>135</v>
      </c>
      <c r="K42" s="21">
        <v>0.4117647111415863</v>
      </c>
      <c r="L42" s="21">
        <v>0.47058823704719538</v>
      </c>
      <c r="M42" s="21">
        <v>0.36363637447357178</v>
      </c>
      <c r="N42" s="21">
        <v>0.40000000596046448</v>
      </c>
      <c r="O42" s="21">
        <v>1</v>
      </c>
      <c r="P42" s="21">
        <v>0.3382352888584137</v>
      </c>
      <c r="Q42" s="21">
        <v>0.54044604301452637</v>
      </c>
      <c r="R42" s="21">
        <v>0.1824099272489548</v>
      </c>
    </row>
    <row r="43" spans="1:18" s="7" customFormat="1" x14ac:dyDescent="0.45">
      <c r="A43" s="7" t="s">
        <v>394</v>
      </c>
      <c r="B43" s="7" t="str">
        <f>VLOOKUP(C43,'Organisation names'!$B$4:$D$130,3,FALSE)</f>
        <v>East Midlands</v>
      </c>
      <c r="C43" s="7" t="s">
        <v>44</v>
      </c>
      <c r="D43" s="7" t="str">
        <f>VLOOKUP(C43,'Organisation names'!$B$4:$D$130,2,FALSE)</f>
        <v>Chesterfield Royal Hospital NHS Foundation Trust</v>
      </c>
      <c r="E43" s="72">
        <v>94</v>
      </c>
      <c r="F43" s="72">
        <v>38</v>
      </c>
      <c r="G43" s="72">
        <v>15</v>
      </c>
      <c r="H43" s="21">
        <v>0.95744681358337402</v>
      </c>
      <c r="I43" s="27" t="s">
        <v>444</v>
      </c>
      <c r="J43" s="27" t="s">
        <v>547</v>
      </c>
      <c r="K43" s="21">
        <v>0.63157892227172852</v>
      </c>
      <c r="L43" s="21">
        <v>0.71052628755569458</v>
      </c>
      <c r="M43" s="21">
        <v>0.375</v>
      </c>
      <c r="N43" s="21">
        <v>0.27450981736183172</v>
      </c>
      <c r="O43" s="21">
        <v>0.91025638580322266</v>
      </c>
      <c r="P43" s="21">
        <v>0.51063829660415649</v>
      </c>
      <c r="Q43" s="21">
        <v>0.49110499024391169</v>
      </c>
      <c r="R43" s="21">
        <v>0.20528411865234381</v>
      </c>
    </row>
    <row r="44" spans="1:18" s="7" customFormat="1" x14ac:dyDescent="0.45">
      <c r="A44" s="7" t="s">
        <v>394</v>
      </c>
      <c r="B44" s="7" t="str">
        <f>VLOOKUP(C44,'Organisation names'!$B$4:$D$130,3,FALSE)</f>
        <v>East of England</v>
      </c>
      <c r="C44" s="7" t="s">
        <v>45</v>
      </c>
      <c r="D44" s="7" t="str">
        <f>VLOOKUP(C44,'Organisation names'!$B$4:$D$130,2,FALSE)</f>
        <v>North West Anglia NHS Foundation Trust</v>
      </c>
      <c r="E44" s="72">
        <v>159</v>
      </c>
      <c r="F44" s="72">
        <v>39</v>
      </c>
      <c r="G44" s="72">
        <v>12</v>
      </c>
      <c r="H44" s="21">
        <v>0.66666668653488159</v>
      </c>
      <c r="I44" s="27" t="s">
        <v>445</v>
      </c>
      <c r="J44" s="27" t="s">
        <v>548</v>
      </c>
      <c r="K44" s="21">
        <v>0.41025641560554499</v>
      </c>
      <c r="L44" s="21">
        <v>0.56410259008407593</v>
      </c>
      <c r="M44" s="21">
        <v>0.51428574323654175</v>
      </c>
      <c r="N44" s="21">
        <v>0.1627907007932663</v>
      </c>
      <c r="O44" s="21">
        <v>0.54878050088882446</v>
      </c>
      <c r="P44" s="21">
        <v>0.402515709400177</v>
      </c>
      <c r="Q44" s="21">
        <v>0.52624791860580444</v>
      </c>
      <c r="R44" s="21">
        <v>0.17558382451534271</v>
      </c>
    </row>
    <row r="45" spans="1:18" s="7" customFormat="1" x14ac:dyDescent="0.45">
      <c r="A45" s="7" t="s">
        <v>394</v>
      </c>
      <c r="B45" s="7" t="str">
        <f>VLOOKUP(C45,'Organisation names'!$B$4:$D$130,3,FALSE)</f>
        <v>East of England</v>
      </c>
      <c r="C45" s="7" t="s">
        <v>46</v>
      </c>
      <c r="D45" s="7" t="str">
        <f>VLOOKUP(C45,'Organisation names'!$B$4:$D$130,2,FALSE)</f>
        <v>James Paget University Hospitals NHS Foundation Trust</v>
      </c>
      <c r="E45" s="72">
        <v>80</v>
      </c>
      <c r="F45" s="72">
        <v>30</v>
      </c>
      <c r="G45" s="72">
        <v>15</v>
      </c>
      <c r="H45" s="21">
        <v>0.77499997615814209</v>
      </c>
      <c r="I45" s="27" t="s">
        <v>446</v>
      </c>
      <c r="J45" s="27" t="s">
        <v>549</v>
      </c>
      <c r="K45" s="21">
        <v>0.46666666865348821</v>
      </c>
      <c r="L45" s="21">
        <v>0.60000002384185791</v>
      </c>
      <c r="M45" s="21">
        <v>0.55882352590560913</v>
      </c>
      <c r="N45" s="21">
        <v>0.32432430982589722</v>
      </c>
      <c r="O45" s="21">
        <v>0.89552241563796997</v>
      </c>
      <c r="P45" s="21">
        <v>0.57499998807907104</v>
      </c>
      <c r="Q45" s="21">
        <v>0.47270727157592768</v>
      </c>
      <c r="R45" s="21">
        <v>0.2037253528833389</v>
      </c>
    </row>
    <row r="46" spans="1:18" s="7" customFormat="1" x14ac:dyDescent="0.45">
      <c r="A46" s="7" t="s">
        <v>394</v>
      </c>
      <c r="B46" s="7" t="str">
        <f>VLOOKUP(C46,'Organisation names'!$B$4:$D$130,3,FALSE)</f>
        <v>East of England</v>
      </c>
      <c r="C46" s="7" t="s">
        <v>47</v>
      </c>
      <c r="D46" s="7" t="str">
        <f>VLOOKUP(C46,'Organisation names'!$B$4:$D$130,2,FALSE)</f>
        <v>West Suffolk NHS Foundation Trust</v>
      </c>
      <c r="E46" s="72">
        <v>80</v>
      </c>
      <c r="F46" s="72">
        <v>30</v>
      </c>
      <c r="G46" s="72">
        <v>10</v>
      </c>
      <c r="H46" s="21">
        <v>0.88749998807907104</v>
      </c>
      <c r="I46" s="27" t="s">
        <v>447</v>
      </c>
      <c r="J46" s="27" t="s">
        <v>550</v>
      </c>
      <c r="K46" s="21">
        <v>0.66666668653488159</v>
      </c>
      <c r="L46" s="21">
        <v>0.80000001192092896</v>
      </c>
      <c r="M46" s="21">
        <v>0.40000000596046448</v>
      </c>
      <c r="N46" s="21">
        <v>0.2045454531908035</v>
      </c>
      <c r="O46" s="21">
        <v>0.93333333730697632</v>
      </c>
      <c r="P46" s="21">
        <v>0.41249999403953552</v>
      </c>
      <c r="Q46" s="21">
        <v>0.51390337944030762</v>
      </c>
      <c r="R46" s="21">
        <v>0.1086108610033989</v>
      </c>
    </row>
    <row r="47" spans="1:18" s="7" customFormat="1" x14ac:dyDescent="0.45">
      <c r="A47" s="7" t="s">
        <v>394</v>
      </c>
      <c r="B47" s="7" t="str">
        <f>VLOOKUP(C47,'Organisation names'!$B$4:$D$130,3,FALSE)</f>
        <v>East of England</v>
      </c>
      <c r="C47" s="7" t="s">
        <v>48</v>
      </c>
      <c r="D47" s="7" t="str">
        <f>VLOOKUP(C47,'Organisation names'!$B$4:$D$130,2,FALSE)</f>
        <v>Cambridge University Hospitals NHS Foundation Trust</v>
      </c>
      <c r="E47" s="72">
        <v>193</v>
      </c>
      <c r="F47" s="72">
        <v>46</v>
      </c>
      <c r="G47" s="72">
        <v>27</v>
      </c>
      <c r="H47" s="21">
        <v>0.50259065628051758</v>
      </c>
      <c r="I47" s="27" t="s">
        <v>448</v>
      </c>
      <c r="J47" s="27" t="s">
        <v>551</v>
      </c>
      <c r="K47" s="21">
        <v>0.5</v>
      </c>
      <c r="L47" s="21">
        <v>0.71739131212234497</v>
      </c>
      <c r="M47" s="21">
        <v>0.64999997615814209</v>
      </c>
      <c r="N47" s="21">
        <v>0.34782609343528748</v>
      </c>
      <c r="O47" s="21">
        <v>0.28282827138900762</v>
      </c>
      <c r="P47" s="21">
        <v>0.62694299221038818</v>
      </c>
      <c r="Q47" s="21">
        <v>0.51949828863143921</v>
      </c>
      <c r="R47" s="21">
        <v>0.29230552911758417</v>
      </c>
    </row>
    <row r="48" spans="1:18" s="7" customFormat="1" x14ac:dyDescent="0.45">
      <c r="A48" s="7" t="s">
        <v>394</v>
      </c>
      <c r="B48" s="7" t="str">
        <f>VLOOKUP(C48,'Organisation names'!$B$4:$D$130,3,FALSE)</f>
        <v>Somerset, Wiltshire, Avon and Gloucestershire</v>
      </c>
      <c r="C48" s="7" t="s">
        <v>49</v>
      </c>
      <c r="D48" s="7" t="str">
        <f>VLOOKUP(C48,'Organisation names'!$B$4:$D$130,2,FALSE)</f>
        <v>Somerset NHS Foundation Trust</v>
      </c>
      <c r="E48" s="72">
        <v>204</v>
      </c>
      <c r="F48" s="72">
        <v>58</v>
      </c>
      <c r="G48" s="72">
        <v>20</v>
      </c>
      <c r="H48" s="21">
        <v>0.86764705181121826</v>
      </c>
      <c r="I48" s="27" t="s">
        <v>449</v>
      </c>
      <c r="J48" s="27" t="s">
        <v>552</v>
      </c>
      <c r="K48" s="21">
        <v>0.72413790225982666</v>
      </c>
      <c r="L48" s="21">
        <v>0.81034481525421143</v>
      </c>
      <c r="M48" s="21">
        <v>0.380952388048172</v>
      </c>
      <c r="N48" s="21">
        <v>0.25</v>
      </c>
      <c r="O48" s="21">
        <v>0.95370370149612427</v>
      </c>
      <c r="P48" s="21">
        <v>0.49509802460670471</v>
      </c>
      <c r="Q48" s="21">
        <v>0.56560051441192627</v>
      </c>
      <c r="R48" s="21">
        <v>0.22887405753135681</v>
      </c>
    </row>
    <row r="49" spans="1:18" s="7" customFormat="1" x14ac:dyDescent="0.45">
      <c r="A49" s="7" t="s">
        <v>394</v>
      </c>
      <c r="B49" s="7" t="str">
        <f>VLOOKUP(C49,'Organisation names'!$B$4:$D$130,3,FALSE)</f>
        <v>Peninsula</v>
      </c>
      <c r="C49" s="7" t="s">
        <v>50</v>
      </c>
      <c r="D49" s="7" t="str">
        <f>VLOOKUP(C49,'Organisation names'!$B$4:$D$130,2,FALSE)</f>
        <v>Royal Devon University Healthcare NHS Foundation Trust</v>
      </c>
      <c r="E49" s="72">
        <v>238</v>
      </c>
      <c r="F49" s="72">
        <v>62</v>
      </c>
      <c r="G49" s="72">
        <v>24</v>
      </c>
      <c r="H49" s="21">
        <v>0.83613443374633789</v>
      </c>
      <c r="I49" s="27" t="s">
        <v>450</v>
      </c>
      <c r="J49" s="27" t="s">
        <v>553</v>
      </c>
      <c r="K49" s="21">
        <v>0.56451612710952759</v>
      </c>
      <c r="L49" s="21">
        <v>0.64516127109527588</v>
      </c>
      <c r="M49" s="21">
        <v>0.49152541160583502</v>
      </c>
      <c r="N49" s="21">
        <v>0.26050421595573431</v>
      </c>
      <c r="O49" s="21">
        <v>0.9692307710647583</v>
      </c>
      <c r="P49" s="21">
        <v>0.53361344337463379</v>
      </c>
      <c r="Q49" s="21">
        <v>0.5359923243522644</v>
      </c>
      <c r="R49" s="21">
        <v>0.2200212478637695</v>
      </c>
    </row>
    <row r="50" spans="1:18" s="7" customFormat="1" x14ac:dyDescent="0.45">
      <c r="A50" s="7" t="s">
        <v>394</v>
      </c>
      <c r="B50" s="7" t="str">
        <f>VLOOKUP(C50,'Organisation names'!$B$4:$D$130,3,FALSE)</f>
        <v>Wessex</v>
      </c>
      <c r="C50" s="7" t="s">
        <v>51</v>
      </c>
      <c r="D50" s="7" t="str">
        <f>VLOOKUP(C50,'Organisation names'!$B$4:$D$130,2,FALSE)</f>
        <v>University Hospital Southampton NHS Foundation Trust</v>
      </c>
      <c r="E50" s="72">
        <v>217</v>
      </c>
      <c r="F50" s="72">
        <v>56</v>
      </c>
      <c r="G50" s="72">
        <v>25</v>
      </c>
      <c r="H50" s="21">
        <v>0.87557601928710938</v>
      </c>
      <c r="I50" s="27" t="s">
        <v>451</v>
      </c>
      <c r="J50" s="27" t="s">
        <v>554</v>
      </c>
      <c r="K50" s="21">
        <v>0.66071426868438721</v>
      </c>
      <c r="L50" s="21">
        <v>0.80357140302658081</v>
      </c>
      <c r="M50" s="21">
        <v>0.55660378932952881</v>
      </c>
      <c r="N50" s="21">
        <v>0.2772277295589447</v>
      </c>
      <c r="O50" s="21">
        <v>0.96531790494918823</v>
      </c>
      <c r="P50" s="21">
        <v>0.52534562349319458</v>
      </c>
      <c r="Q50" s="21">
        <v>0.54912006855010986</v>
      </c>
      <c r="R50" s="21">
        <v>0.25644981861114502</v>
      </c>
    </row>
    <row r="51" spans="1:18" s="7" customFormat="1" x14ac:dyDescent="0.45">
      <c r="A51" s="7" t="s">
        <v>394</v>
      </c>
      <c r="B51" s="7" t="str">
        <f>VLOOKUP(C51,'Organisation names'!$B$4:$D$130,3,FALSE)</f>
        <v>South Yorkshire and Bassetlaw</v>
      </c>
      <c r="C51" s="7" t="s">
        <v>52</v>
      </c>
      <c r="D51" s="7" t="str">
        <f>VLOOKUP(C51,'Organisation names'!$B$4:$D$130,2,FALSE)</f>
        <v>Sheffield Teaching Hospitals NHS Foundation Trust</v>
      </c>
      <c r="E51" s="72">
        <v>265</v>
      </c>
      <c r="F51" s="72">
        <v>71</v>
      </c>
      <c r="G51" s="72">
        <v>23</v>
      </c>
      <c r="H51" s="21">
        <v>0.24150943756103521</v>
      </c>
      <c r="I51" s="27" t="s">
        <v>452</v>
      </c>
      <c r="J51" s="27" t="s">
        <v>555</v>
      </c>
      <c r="K51" s="21">
        <v>0.577464759349823</v>
      </c>
      <c r="L51" s="21">
        <v>0.64788734912872314</v>
      </c>
      <c r="M51" s="21">
        <v>0.63999998569488525</v>
      </c>
      <c r="N51" s="21">
        <v>0.32857143878936768</v>
      </c>
      <c r="O51" s="21">
        <v>0.87804877758026123</v>
      </c>
      <c r="P51" s="21">
        <v>0.5433962345123291</v>
      </c>
      <c r="Q51" s="21">
        <v>0.55569052696228027</v>
      </c>
      <c r="R51" s="21">
        <v>0.23375231027603149</v>
      </c>
    </row>
    <row r="52" spans="1:18" s="7" customFormat="1" x14ac:dyDescent="0.45">
      <c r="A52" s="7" t="s">
        <v>394</v>
      </c>
      <c r="B52" s="7" t="str">
        <f>VLOOKUP(C52,'Organisation names'!$B$4:$D$130,3,FALSE)</f>
        <v>Wessex</v>
      </c>
      <c r="C52" s="7" t="s">
        <v>53</v>
      </c>
      <c r="D52" s="7" t="str">
        <f>VLOOKUP(C52,'Organisation names'!$B$4:$D$130,2,FALSE)</f>
        <v>Portsmouth Hospitals University NHS Trust</v>
      </c>
      <c r="E52" s="72">
        <v>198</v>
      </c>
      <c r="F52" s="72">
        <v>49</v>
      </c>
      <c r="G52" s="72">
        <v>19</v>
      </c>
      <c r="H52" s="21">
        <v>0.85353535413742065</v>
      </c>
      <c r="I52" s="27" t="s">
        <v>453</v>
      </c>
      <c r="J52" s="27" t="s">
        <v>556</v>
      </c>
      <c r="K52" s="21">
        <v>0.61224490404129028</v>
      </c>
      <c r="L52" s="21">
        <v>0.73469388484954834</v>
      </c>
      <c r="M52" s="21">
        <v>0.50819671154022217</v>
      </c>
      <c r="N52" s="21">
        <v>0.21348313987255099</v>
      </c>
      <c r="O52" s="21">
        <v>0.91666668653488159</v>
      </c>
      <c r="P52" s="21">
        <v>0.43434342741966248</v>
      </c>
      <c r="Q52" s="21">
        <v>0.53982222080230713</v>
      </c>
      <c r="R52" s="21">
        <v>0.17802244424819949</v>
      </c>
    </row>
    <row r="53" spans="1:18" s="7" customFormat="1" x14ac:dyDescent="0.45">
      <c r="A53" s="7" t="s">
        <v>394</v>
      </c>
      <c r="B53" s="7" t="str">
        <f>VLOOKUP(C53,'Organisation names'!$B$4:$D$130,3,FALSE)</f>
        <v>Thames Valley</v>
      </c>
      <c r="C53" s="7" t="s">
        <v>54</v>
      </c>
      <c r="D53" s="7" t="str">
        <f>VLOOKUP(C53,'Organisation names'!$B$4:$D$130,2,FALSE)</f>
        <v>Royal Berkshire NHS Foundation Trust</v>
      </c>
      <c r="E53" s="72">
        <v>131</v>
      </c>
      <c r="F53" s="72">
        <v>33</v>
      </c>
      <c r="G53" s="72">
        <v>17</v>
      </c>
      <c r="H53" s="21">
        <v>0.86259543895721436</v>
      </c>
      <c r="I53" s="27" t="s">
        <v>454</v>
      </c>
      <c r="J53" s="27" t="s">
        <v>557</v>
      </c>
      <c r="K53" s="21">
        <v>0.4848484992980957</v>
      </c>
      <c r="L53" s="21">
        <v>0.5151515007019043</v>
      </c>
      <c r="M53" s="21">
        <v>0.48275861144065862</v>
      </c>
      <c r="N53" s="21">
        <v>0.29333332180976868</v>
      </c>
      <c r="O53" s="21">
        <v>0.93518519401550293</v>
      </c>
      <c r="P53" s="21">
        <v>0.39694657921791082</v>
      </c>
      <c r="Q53" s="21">
        <v>0.52589583396911621</v>
      </c>
      <c r="R53" s="21">
        <v>0.18834410607814789</v>
      </c>
    </row>
    <row r="54" spans="1:18" s="7" customFormat="1" x14ac:dyDescent="0.45">
      <c r="A54" s="7" t="s">
        <v>394</v>
      </c>
      <c r="B54" s="7" t="str">
        <f>VLOOKUP(C54,'Organisation names'!$B$4:$D$130,3,FALSE)</f>
        <v>South East London</v>
      </c>
      <c r="C54" s="7" t="s">
        <v>55</v>
      </c>
      <c r="D54" s="7" t="str">
        <f>VLOOKUP(C54,'Organisation names'!$B$4:$D$130,2,FALSE)</f>
        <v>Guy's and St Thomas' NHS Foundation Trust</v>
      </c>
      <c r="E54" s="72">
        <v>78</v>
      </c>
      <c r="F54" s="72">
        <v>16</v>
      </c>
      <c r="G54" s="72">
        <v>14</v>
      </c>
      <c r="H54" s="21">
        <v>0.70512819290161133</v>
      </c>
      <c r="I54" s="27" t="s">
        <v>455</v>
      </c>
      <c r="J54" s="27" t="s">
        <v>558</v>
      </c>
      <c r="K54" s="21">
        <v>0.6875</v>
      </c>
      <c r="L54" s="21">
        <v>0.75</v>
      </c>
      <c r="M54" s="21">
        <v>0.8888888955116272</v>
      </c>
      <c r="N54" s="21">
        <v>0.63157892227172852</v>
      </c>
      <c r="O54" s="21">
        <v>1</v>
      </c>
      <c r="P54" s="21">
        <v>0.57692307233810425</v>
      </c>
      <c r="Q54" s="21">
        <v>0.53379321098327637</v>
      </c>
      <c r="R54" s="21">
        <v>0.27640622854232788</v>
      </c>
    </row>
    <row r="55" spans="1:18" s="7" customFormat="1" x14ac:dyDescent="0.45">
      <c r="A55" s="7" t="s">
        <v>394</v>
      </c>
      <c r="B55" s="7" t="str">
        <f>VLOOKUP(C55,'Organisation names'!$B$4:$D$130,3,FALSE)</f>
        <v>South East London</v>
      </c>
      <c r="C55" s="7" t="s">
        <v>56</v>
      </c>
      <c r="D55" s="7" t="str">
        <f>VLOOKUP(C55,'Organisation names'!$B$4:$D$130,2,FALSE)</f>
        <v>Lewisham and Greenwich NHS Trust</v>
      </c>
      <c r="E55" s="72">
        <v>131</v>
      </c>
      <c r="F55" s="72">
        <v>30</v>
      </c>
      <c r="G55" s="72">
        <v>11</v>
      </c>
      <c r="H55" s="21">
        <v>0.84732824563980103</v>
      </c>
      <c r="I55" s="27" t="s">
        <v>456</v>
      </c>
      <c r="J55" s="27" t="s">
        <v>559</v>
      </c>
      <c r="K55" s="21">
        <v>0.53333336114883423</v>
      </c>
      <c r="L55" s="21">
        <v>0.76666665077209473</v>
      </c>
      <c r="M55" s="21">
        <v>0.4761904776096344</v>
      </c>
      <c r="N55" s="21">
        <v>0.2083333283662796</v>
      </c>
      <c r="O55" s="21">
        <v>0.99009901285171509</v>
      </c>
      <c r="P55" s="21">
        <v>0.46564885973930359</v>
      </c>
      <c r="Q55" s="21">
        <v>0.58528870344161987</v>
      </c>
      <c r="R55" s="21">
        <v>0.28274187445640558</v>
      </c>
    </row>
    <row r="56" spans="1:18" s="7" customFormat="1" x14ac:dyDescent="0.45">
      <c r="A56" s="7" t="s">
        <v>394</v>
      </c>
      <c r="B56" s="7" t="str">
        <f>VLOOKUP(C56,'Organisation names'!$B$4:$D$130,3,FALSE)</f>
        <v>RM Partners</v>
      </c>
      <c r="C56" s="7" t="s">
        <v>57</v>
      </c>
      <c r="D56" s="7" t="str">
        <f>VLOOKUP(C56,'Organisation names'!$B$4:$D$130,2,FALSE)</f>
        <v>Croydon Health Services NHS Trust</v>
      </c>
      <c r="E56" s="72">
        <v>53</v>
      </c>
      <c r="F56" s="72">
        <v>20</v>
      </c>
      <c r="G56" s="72">
        <v>10</v>
      </c>
      <c r="H56" s="21">
        <v>0.81132078170776367</v>
      </c>
      <c r="I56" s="27" t="s">
        <v>457</v>
      </c>
      <c r="J56" s="27" t="s">
        <v>560</v>
      </c>
      <c r="K56" s="21">
        <v>0.34999999403953552</v>
      </c>
      <c r="L56" s="21">
        <v>0.55000001192092896</v>
      </c>
      <c r="M56" s="21">
        <v>0.625</v>
      </c>
      <c r="N56" s="21">
        <v>0.3333333432674408</v>
      </c>
      <c r="O56" s="21">
        <v>0.87999999523162842</v>
      </c>
      <c r="P56" s="21">
        <v>0.43396225571632391</v>
      </c>
      <c r="Q56" s="21">
        <v>0.52975481748580933</v>
      </c>
      <c r="R56" s="21">
        <v>0.26623165607452393</v>
      </c>
    </row>
    <row r="57" spans="1:18" s="7" customFormat="1" x14ac:dyDescent="0.45">
      <c r="A57" s="7" t="s">
        <v>394</v>
      </c>
      <c r="B57" s="7" t="str">
        <f>VLOOKUP(C57,'Organisation names'!$B$4:$D$130,3,FALSE)</f>
        <v>RM Partners</v>
      </c>
      <c r="C57" s="7" t="s">
        <v>58</v>
      </c>
      <c r="D57" s="7" t="str">
        <f>VLOOKUP(C57,'Organisation names'!$B$4:$D$130,2,FALSE)</f>
        <v>St George's University Hospitals NHS Foundation Trust</v>
      </c>
      <c r="E57" s="72">
        <v>81</v>
      </c>
      <c r="F57" s="72">
        <v>11</v>
      </c>
      <c r="G57" s="74" t="s">
        <v>135</v>
      </c>
      <c r="H57" s="21">
        <v>0.35802468657493591</v>
      </c>
      <c r="I57" s="27" t="s">
        <v>458</v>
      </c>
      <c r="J57" s="74" t="s">
        <v>135</v>
      </c>
      <c r="K57" s="21">
        <v>0.63636362552642822</v>
      </c>
      <c r="L57" s="21">
        <v>0.81818181276321411</v>
      </c>
      <c r="M57" s="21">
        <v>0.8888888955116272</v>
      </c>
      <c r="N57" s="21">
        <v>0.4583333432674408</v>
      </c>
      <c r="O57" s="21">
        <v>1</v>
      </c>
      <c r="P57" s="21">
        <v>0.54320985078811646</v>
      </c>
      <c r="Q57" s="21">
        <v>0.50208526849746704</v>
      </c>
      <c r="R57" s="21">
        <v>0.20130555331707001</v>
      </c>
    </row>
    <row r="58" spans="1:18" s="7" customFormat="1" x14ac:dyDescent="0.45">
      <c r="A58" s="7" t="s">
        <v>394</v>
      </c>
      <c r="B58" s="7" t="str">
        <f>VLOOKUP(C58,'Organisation names'!$B$4:$D$130,3,FALSE)</f>
        <v>West Midlands</v>
      </c>
      <c r="C58" s="7" t="s">
        <v>59</v>
      </c>
      <c r="D58" s="7" t="str">
        <f>VLOOKUP(C58,'Organisation names'!$B$4:$D$130,2,FALSE)</f>
        <v>South Warwickshire University NHS Foundation Trust</v>
      </c>
      <c r="E58" s="72">
        <v>65</v>
      </c>
      <c r="F58" s="72">
        <v>16</v>
      </c>
      <c r="G58" s="74" t="s">
        <v>135</v>
      </c>
      <c r="H58" s="21">
        <v>0.92307692766189575</v>
      </c>
      <c r="I58" s="27" t="s">
        <v>459</v>
      </c>
      <c r="J58" s="74" t="s">
        <v>135</v>
      </c>
      <c r="K58" s="21">
        <v>0.4375</v>
      </c>
      <c r="L58" s="21">
        <v>0.75</v>
      </c>
      <c r="M58" s="21">
        <v>0.46666666865348821</v>
      </c>
      <c r="N58" s="21">
        <v>0.28125</v>
      </c>
      <c r="O58" s="21">
        <v>1</v>
      </c>
      <c r="P58" s="21">
        <v>0.49230769276618958</v>
      </c>
      <c r="Q58" s="21">
        <v>0.5516020655632019</v>
      </c>
      <c r="R58" s="21">
        <v>0.23133163154125211</v>
      </c>
    </row>
    <row r="59" spans="1:18" s="7" customFormat="1" x14ac:dyDescent="0.45">
      <c r="A59" s="7" t="s">
        <v>394</v>
      </c>
      <c r="B59" s="7" t="str">
        <f>VLOOKUP(C59,'Organisation names'!$B$4:$D$130,3,FALSE)</f>
        <v>West Midlands</v>
      </c>
      <c r="C59" s="7" t="s">
        <v>60</v>
      </c>
      <c r="D59" s="7" t="str">
        <f>VLOOKUP(C59,'Organisation names'!$B$4:$D$130,2,FALSE)</f>
        <v>University Hospitals Of North Midlands NHS Trust</v>
      </c>
      <c r="E59" s="72">
        <v>256</v>
      </c>
      <c r="F59" s="72">
        <v>39</v>
      </c>
      <c r="G59" s="72">
        <v>22</v>
      </c>
      <c r="H59" s="21">
        <v>0.828125</v>
      </c>
      <c r="I59" s="27" t="s">
        <v>460</v>
      </c>
      <c r="J59" s="27" t="s">
        <v>561</v>
      </c>
      <c r="K59" s="21">
        <v>0.46153846383094788</v>
      </c>
      <c r="L59" s="21">
        <v>0.5128205418586731</v>
      </c>
      <c r="M59" s="21">
        <v>0.58653843402862549</v>
      </c>
      <c r="N59" s="21">
        <v>0.23529411852359769</v>
      </c>
      <c r="O59" s="21">
        <v>0.91627907752990723</v>
      </c>
      <c r="P59" s="21">
        <v>0.5625</v>
      </c>
      <c r="Q59" s="21">
        <v>0.49484574794769293</v>
      </c>
      <c r="R59" s="21">
        <v>0.20238761603832239</v>
      </c>
    </row>
    <row r="60" spans="1:18" s="7" customFormat="1" x14ac:dyDescent="0.45">
      <c r="A60" s="7" t="s">
        <v>394</v>
      </c>
      <c r="B60" s="7" t="str">
        <f>VLOOKUP(C60,'Organisation names'!$B$4:$D$130,3,FALSE)</f>
        <v>Humber and North Yorkshire</v>
      </c>
      <c r="C60" s="7" t="s">
        <v>61</v>
      </c>
      <c r="D60" s="7" t="str">
        <f>VLOOKUP(C60,'Organisation names'!$B$4:$D$130,2,FALSE)</f>
        <v>Northern Lincolnshire and Goole NHS Foundation Trust</v>
      </c>
      <c r="E60" s="72">
        <v>144</v>
      </c>
      <c r="F60" s="72">
        <v>35</v>
      </c>
      <c r="G60" s="72">
        <v>22</v>
      </c>
      <c r="H60" s="21">
        <v>0.88194441795349121</v>
      </c>
      <c r="I60" s="27" t="s">
        <v>461</v>
      </c>
      <c r="J60" s="27" t="s">
        <v>562</v>
      </c>
      <c r="K60" s="21">
        <v>0.31428572535514832</v>
      </c>
      <c r="L60" s="21">
        <v>0.4285714328289032</v>
      </c>
      <c r="M60" s="21">
        <v>0.6428571343421936</v>
      </c>
      <c r="N60" s="21">
        <v>0.22388060390949249</v>
      </c>
      <c r="O60" s="21">
        <v>0.84507042169570923</v>
      </c>
      <c r="P60" s="21">
        <v>0.4444444477558136</v>
      </c>
      <c r="Q60" s="21">
        <v>0.50064027309417725</v>
      </c>
      <c r="R60" s="21">
        <v>0.23544538021087649</v>
      </c>
    </row>
    <row r="61" spans="1:18" s="7" customFormat="1" x14ac:dyDescent="0.45">
      <c r="A61" s="7" t="s">
        <v>394</v>
      </c>
      <c r="B61" s="7" t="str">
        <f>VLOOKUP(C61,'Organisation names'!$B$4:$D$130,3,FALSE)</f>
        <v>Cheshire and Merseyside</v>
      </c>
      <c r="C61" s="7" t="s">
        <v>62</v>
      </c>
      <c r="D61" s="7" t="str">
        <f>VLOOKUP(C61,'Organisation names'!$B$4:$D$130,2,FALSE)</f>
        <v>East Cheshire NHS Trust</v>
      </c>
      <c r="E61" s="72">
        <v>47</v>
      </c>
      <c r="F61" s="72">
        <v>21</v>
      </c>
      <c r="G61" s="72">
        <v>10</v>
      </c>
      <c r="H61" s="21">
        <v>0.72340422868728638</v>
      </c>
      <c r="I61" s="27" t="s">
        <v>462</v>
      </c>
      <c r="J61" s="27" t="s">
        <v>563</v>
      </c>
      <c r="K61" s="21">
        <v>0.4761904776096344</v>
      </c>
      <c r="L61" s="21">
        <v>0.61904764175415039</v>
      </c>
      <c r="M61" s="21">
        <v>0.625</v>
      </c>
      <c r="N61" s="21">
        <v>0.4285714328289032</v>
      </c>
      <c r="O61" s="46" t="s">
        <v>135</v>
      </c>
      <c r="P61" s="21">
        <v>0.65957444906234741</v>
      </c>
      <c r="Q61" s="21">
        <v>0.49109449982643127</v>
      </c>
      <c r="R61" s="21">
        <v>0.26345565915107733</v>
      </c>
    </row>
    <row r="62" spans="1:18" s="7" customFormat="1" x14ac:dyDescent="0.45">
      <c r="A62" s="7" t="s">
        <v>394</v>
      </c>
      <c r="B62" s="7" t="str">
        <f>VLOOKUP(C62,'Organisation names'!$B$4:$D$130,3,FALSE)</f>
        <v>Cheshire and Merseyside</v>
      </c>
      <c r="C62" s="7" t="s">
        <v>63</v>
      </c>
      <c r="D62" s="7" t="str">
        <f>VLOOKUP(C62,'Organisation names'!$B$4:$D$130,2,FALSE)</f>
        <v>Countess Of Chester Hospital NHS Foundation Trust</v>
      </c>
      <c r="E62" s="72">
        <v>36</v>
      </c>
      <c r="F62" s="74" t="s">
        <v>135</v>
      </c>
      <c r="G62" s="74" t="s">
        <v>135</v>
      </c>
      <c r="H62" s="21">
        <v>0.69444441795349121</v>
      </c>
      <c r="I62" s="74" t="s">
        <v>135</v>
      </c>
      <c r="J62" s="74" t="s">
        <v>135</v>
      </c>
      <c r="K62" s="74" t="s">
        <v>135</v>
      </c>
      <c r="L62" s="74" t="s">
        <v>135</v>
      </c>
      <c r="M62" s="46" t="s">
        <v>135</v>
      </c>
      <c r="N62" s="21">
        <v>0.28571429848670959</v>
      </c>
      <c r="O62" s="21">
        <v>0.92000001668930054</v>
      </c>
      <c r="P62" s="21">
        <v>0.52777779102325439</v>
      </c>
      <c r="Q62" s="21">
        <v>0.54837268590927124</v>
      </c>
      <c r="R62" s="21">
        <v>0.24528783559799189</v>
      </c>
    </row>
    <row r="63" spans="1:18" s="7" customFormat="1" x14ac:dyDescent="0.45">
      <c r="A63" s="7" t="s">
        <v>394</v>
      </c>
      <c r="B63" s="7" t="str">
        <f>VLOOKUP(C63,'Organisation names'!$B$4:$D$130,3,FALSE)</f>
        <v>South East London</v>
      </c>
      <c r="C63" s="7" t="s">
        <v>64</v>
      </c>
      <c r="D63" s="7" t="str">
        <f>VLOOKUP(C63,'Organisation names'!$B$4:$D$130,2,FALSE)</f>
        <v>King's College Hospital NHS Foundation Trust</v>
      </c>
      <c r="E63" s="72">
        <v>266</v>
      </c>
      <c r="F63" s="72">
        <v>72</v>
      </c>
      <c r="G63" s="72">
        <v>53</v>
      </c>
      <c r="H63" s="21">
        <v>0.8195488452911377</v>
      </c>
      <c r="I63" s="27" t="s">
        <v>463</v>
      </c>
      <c r="J63" s="27" t="s">
        <v>564</v>
      </c>
      <c r="K63" s="21">
        <v>0.4444444477558136</v>
      </c>
      <c r="L63" s="21">
        <v>0.5138888955116272</v>
      </c>
      <c r="M63" s="21">
        <v>0.81102359294891357</v>
      </c>
      <c r="N63" s="21">
        <v>0.3695652186870575</v>
      </c>
      <c r="O63" s="21">
        <v>0.97948718070983887</v>
      </c>
      <c r="P63" s="21">
        <v>0.65789473056793213</v>
      </c>
      <c r="Q63" s="21">
        <v>0.57378953695297241</v>
      </c>
      <c r="R63" s="21">
        <v>0.25753945112228388</v>
      </c>
    </row>
    <row r="64" spans="1:18" s="7" customFormat="1" x14ac:dyDescent="0.45">
      <c r="A64" s="7" t="s">
        <v>394</v>
      </c>
      <c r="B64" s="7" t="str">
        <f>VLOOKUP(C64,'Organisation names'!$B$4:$D$130,3,FALSE)</f>
        <v>East Midlands</v>
      </c>
      <c r="C64" s="7" t="s">
        <v>65</v>
      </c>
      <c r="D64" s="7" t="str">
        <f>VLOOKUP(C64,'Organisation names'!$B$4:$D$130,2,FALSE)</f>
        <v>Sherwood Forest Hospitals NHS Foundation Trust</v>
      </c>
      <c r="E64" s="72">
        <v>90</v>
      </c>
      <c r="F64" s="72">
        <v>32</v>
      </c>
      <c r="G64" s="72">
        <v>15</v>
      </c>
      <c r="H64" s="21">
        <v>0.48888888955116272</v>
      </c>
      <c r="I64" s="27" t="s">
        <v>464</v>
      </c>
      <c r="J64" s="27" t="s">
        <v>565</v>
      </c>
      <c r="K64" s="21">
        <v>0.59375</v>
      </c>
      <c r="L64" s="21">
        <v>0.8125</v>
      </c>
      <c r="M64" s="46" t="s">
        <v>135</v>
      </c>
      <c r="N64" s="21">
        <v>0.62962961196899414</v>
      </c>
      <c r="O64" s="21">
        <v>0.94444441795349121</v>
      </c>
      <c r="P64" s="21">
        <v>0.37777778506278992</v>
      </c>
      <c r="Q64" s="21">
        <v>0.39442482590675348</v>
      </c>
      <c r="R64" s="21">
        <v>0.21665321290493009</v>
      </c>
    </row>
    <row r="65" spans="1:18" s="7" customFormat="1" x14ac:dyDescent="0.45">
      <c r="A65" s="7" t="s">
        <v>394</v>
      </c>
      <c r="B65" s="7" t="str">
        <f>VLOOKUP(C65,'Organisation names'!$B$4:$D$130,3,FALSE)</f>
        <v>Peninsula</v>
      </c>
      <c r="C65" s="7" t="s">
        <v>66</v>
      </c>
      <c r="D65" s="7" t="str">
        <f>VLOOKUP(C65,'Organisation names'!$B$4:$D$130,2,FALSE)</f>
        <v>University Hospitals Plymouth NHS Trust</v>
      </c>
      <c r="E65" s="72">
        <v>177</v>
      </c>
      <c r="F65" s="72">
        <v>84</v>
      </c>
      <c r="G65" s="72">
        <v>40</v>
      </c>
      <c r="H65" s="21">
        <v>0.72316384315490723</v>
      </c>
      <c r="I65" s="27" t="s">
        <v>465</v>
      </c>
      <c r="J65" s="27" t="s">
        <v>566</v>
      </c>
      <c r="K65" s="21">
        <v>0.6428571343421936</v>
      </c>
      <c r="L65" s="21">
        <v>0.75</v>
      </c>
      <c r="M65" s="21">
        <v>0.4375</v>
      </c>
      <c r="N65" s="21">
        <v>0.31818181276321411</v>
      </c>
      <c r="O65" s="21">
        <v>0.87786257266998291</v>
      </c>
      <c r="P65" s="21">
        <v>0.64971750974655151</v>
      </c>
      <c r="Q65" s="21">
        <v>0.56412816047668457</v>
      </c>
      <c r="R65" s="21">
        <v>0.18956401944160459</v>
      </c>
    </row>
    <row r="66" spans="1:18" s="7" customFormat="1" x14ac:dyDescent="0.45">
      <c r="A66" s="7" t="s">
        <v>394</v>
      </c>
      <c r="B66" s="7" t="str">
        <f>VLOOKUP(C66,'Organisation names'!$B$4:$D$130,3,FALSE)</f>
        <v>West Midlands</v>
      </c>
      <c r="C66" s="7" t="s">
        <v>67</v>
      </c>
      <c r="D66" s="7" t="str">
        <f>VLOOKUP(C66,'Organisation names'!$B$4:$D$130,2,FALSE)</f>
        <v>University Hospitals Coventry and Warwickshire NHS Trust</v>
      </c>
      <c r="E66" s="72">
        <v>181</v>
      </c>
      <c r="F66" s="72">
        <v>54</v>
      </c>
      <c r="G66" s="72">
        <v>28</v>
      </c>
      <c r="H66" s="21">
        <v>0.76795578002929688</v>
      </c>
      <c r="I66" s="27" t="s">
        <v>466</v>
      </c>
      <c r="J66" s="27" t="s">
        <v>567</v>
      </c>
      <c r="K66" s="21">
        <v>0.55555558204650879</v>
      </c>
      <c r="L66" s="21">
        <v>0.62962961196899414</v>
      </c>
      <c r="M66" s="21">
        <v>0.65079367160797119</v>
      </c>
      <c r="N66" s="21">
        <v>0.46913579106330872</v>
      </c>
      <c r="O66" s="21">
        <v>0.96296298503875732</v>
      </c>
      <c r="P66" s="21">
        <v>0.67403316497802734</v>
      </c>
      <c r="Q66" s="21">
        <v>0.52429485321044922</v>
      </c>
      <c r="R66" s="21">
        <v>0.25317952036857599</v>
      </c>
    </row>
    <row r="67" spans="1:18" s="7" customFormat="1" x14ac:dyDescent="0.45">
      <c r="A67" s="7" t="s">
        <v>394</v>
      </c>
      <c r="B67" s="7" t="str">
        <f>VLOOKUP(C67,'Organisation names'!$B$4:$D$130,3,FALSE)</f>
        <v>North Central London</v>
      </c>
      <c r="C67" s="7" t="s">
        <v>68</v>
      </c>
      <c r="D67" s="7" t="str">
        <f>VLOOKUP(C67,'Organisation names'!$B$4:$D$130,2,FALSE)</f>
        <v>Whittington Health NHS Trust</v>
      </c>
      <c r="E67" s="72">
        <v>38</v>
      </c>
      <c r="F67" s="74" t="s">
        <v>135</v>
      </c>
      <c r="G67" s="74" t="s">
        <v>135</v>
      </c>
      <c r="H67" s="21">
        <v>0.78947371244430542</v>
      </c>
      <c r="I67" s="74" t="s">
        <v>135</v>
      </c>
      <c r="J67" s="74" t="s">
        <v>135</v>
      </c>
      <c r="K67" s="74" t="s">
        <v>135</v>
      </c>
      <c r="L67" s="74" t="s">
        <v>135</v>
      </c>
      <c r="M67" s="46" t="s">
        <v>135</v>
      </c>
      <c r="N67" s="21">
        <v>0.25</v>
      </c>
      <c r="O67" s="21">
        <v>1</v>
      </c>
      <c r="P67" s="21">
        <v>0.52631580829620361</v>
      </c>
      <c r="Q67" s="21">
        <v>0.55300182104110718</v>
      </c>
      <c r="R67" s="21">
        <v>0.2366937845945358</v>
      </c>
    </row>
    <row r="68" spans="1:18" s="7" customFormat="1" x14ac:dyDescent="0.45">
      <c r="A68" s="7" t="s">
        <v>394</v>
      </c>
      <c r="B68" s="7" t="str">
        <f>VLOOKUP(C68,'Organisation names'!$B$4:$D$130,3,FALSE)</f>
        <v>West Midlands</v>
      </c>
      <c r="C68" s="7" t="s">
        <v>69</v>
      </c>
      <c r="D68" s="7" t="str">
        <f>VLOOKUP(C68,'Organisation names'!$B$4:$D$130,2,FALSE)</f>
        <v>The Royal Wolverhampton NHS Trust</v>
      </c>
      <c r="E68" s="72">
        <v>118</v>
      </c>
      <c r="F68" s="72">
        <v>28</v>
      </c>
      <c r="G68" s="74" t="s">
        <v>135</v>
      </c>
      <c r="H68" s="21">
        <v>0.88983052968978882</v>
      </c>
      <c r="I68" s="27" t="s">
        <v>467</v>
      </c>
      <c r="J68" s="74" t="s">
        <v>135</v>
      </c>
      <c r="K68" s="21">
        <v>0.5</v>
      </c>
      <c r="L68" s="21">
        <v>0.6428571343421936</v>
      </c>
      <c r="M68" s="21">
        <v>0.5</v>
      </c>
      <c r="N68" s="21">
        <v>0.26984128355979919</v>
      </c>
      <c r="O68" s="21">
        <v>0.95522385835647583</v>
      </c>
      <c r="P68" s="21">
        <v>0.52542370557785034</v>
      </c>
      <c r="Q68" s="21">
        <v>0.5187610387802124</v>
      </c>
      <c r="R68" s="21">
        <v>0.1934085339307785</v>
      </c>
    </row>
    <row r="69" spans="1:18" s="7" customFormat="1" x14ac:dyDescent="0.45">
      <c r="A69" s="7" t="s">
        <v>394</v>
      </c>
      <c r="B69" s="7" t="str">
        <f>VLOOKUP(C69,'Organisation names'!$B$4:$D$130,3,FALSE)</f>
        <v>West Midlands</v>
      </c>
      <c r="C69" s="7" t="s">
        <v>70</v>
      </c>
      <c r="D69" s="7" t="str">
        <f>VLOOKUP(C69,'Organisation names'!$B$4:$D$130,2,FALSE)</f>
        <v>Wye Valley NHS Trust</v>
      </c>
      <c r="E69" s="72">
        <v>66</v>
      </c>
      <c r="F69" s="72">
        <v>24</v>
      </c>
      <c r="G69" s="74" t="s">
        <v>135</v>
      </c>
      <c r="H69" s="21">
        <v>0.57575756311416626</v>
      </c>
      <c r="I69" s="27" t="s">
        <v>468</v>
      </c>
      <c r="J69" s="74" t="s">
        <v>135</v>
      </c>
      <c r="K69" s="21">
        <v>0.66666668653488159</v>
      </c>
      <c r="L69" s="21">
        <v>0.75</v>
      </c>
      <c r="M69" s="46" t="s">
        <v>135</v>
      </c>
      <c r="N69" s="21">
        <v>0.2222222238779068</v>
      </c>
      <c r="O69" s="21">
        <v>0.76923078298568726</v>
      </c>
      <c r="P69" s="21">
        <v>0.5</v>
      </c>
      <c r="Q69" s="21">
        <v>0.48376080393791199</v>
      </c>
      <c r="R69" s="21">
        <v>0.2334063649177551</v>
      </c>
    </row>
    <row r="70" spans="1:18" s="7" customFormat="1" x14ac:dyDescent="0.45">
      <c r="A70" s="7" t="s">
        <v>394</v>
      </c>
      <c r="B70" s="7" t="str">
        <f>VLOOKUP(C70,'Organisation names'!$B$4:$D$130,3,FALSE)</f>
        <v>West Midlands</v>
      </c>
      <c r="C70" s="7" t="s">
        <v>71</v>
      </c>
      <c r="D70" s="7" t="str">
        <f>VLOOKUP(C70,'Organisation names'!$B$4:$D$130,2,FALSE)</f>
        <v>George Eliot Hospital NHS Trust</v>
      </c>
      <c r="E70" s="72">
        <v>48</v>
      </c>
      <c r="F70" s="72">
        <v>17</v>
      </c>
      <c r="G70" s="74" t="s">
        <v>135</v>
      </c>
      <c r="H70" s="21">
        <v>0.66666668653488159</v>
      </c>
      <c r="I70" s="27" t="s">
        <v>469</v>
      </c>
      <c r="J70" s="74" t="s">
        <v>135</v>
      </c>
      <c r="K70" s="21">
        <v>0.70588237047195435</v>
      </c>
      <c r="L70" s="21">
        <v>0.88235294818878174</v>
      </c>
      <c r="M70" s="46" t="s">
        <v>135</v>
      </c>
      <c r="N70" s="21">
        <v>0.3214285671710968</v>
      </c>
      <c r="O70" s="21">
        <v>0.82352942228317261</v>
      </c>
      <c r="P70" s="21">
        <v>0.3958333432674408</v>
      </c>
      <c r="Q70" s="21">
        <v>0.42254069447517401</v>
      </c>
      <c r="R70" s="21">
        <v>0.21839046478271479</v>
      </c>
    </row>
    <row r="71" spans="1:18" s="7" customFormat="1" x14ac:dyDescent="0.45">
      <c r="A71" s="7" t="s">
        <v>394</v>
      </c>
      <c r="B71" s="7" t="str">
        <f>VLOOKUP(C71,'Organisation names'!$B$4:$D$130,3,FALSE)</f>
        <v>East of England</v>
      </c>
      <c r="C71" s="7" t="s">
        <v>72</v>
      </c>
      <c r="D71" s="7" t="str">
        <f>VLOOKUP(C71,'Organisation names'!$B$4:$D$130,2,FALSE)</f>
        <v>Norfolk and Norwich University Hospitals NHS Foundation Trust</v>
      </c>
      <c r="E71" s="72">
        <v>271</v>
      </c>
      <c r="F71" s="72">
        <v>67</v>
      </c>
      <c r="G71" s="72">
        <v>24</v>
      </c>
      <c r="H71" s="21">
        <v>0.88191884756088257</v>
      </c>
      <c r="I71" s="27" t="s">
        <v>470</v>
      </c>
      <c r="J71" s="27" t="s">
        <v>568</v>
      </c>
      <c r="K71" s="21">
        <v>0.61194032430648804</v>
      </c>
      <c r="L71" s="21">
        <v>0.7014925479888916</v>
      </c>
      <c r="M71" s="21">
        <v>0.64935064315795898</v>
      </c>
      <c r="N71" s="21">
        <v>0.27272728085517878</v>
      </c>
      <c r="O71" s="21">
        <v>0.93658536672592163</v>
      </c>
      <c r="P71" s="21">
        <v>0.61623615026473999</v>
      </c>
      <c r="Q71" s="21">
        <v>0.52644866704940796</v>
      </c>
      <c r="R71" s="21">
        <v>0.20087479054927829</v>
      </c>
    </row>
    <row r="72" spans="1:18" s="7" customFormat="1" x14ac:dyDescent="0.45">
      <c r="A72" s="7" t="s">
        <v>394</v>
      </c>
      <c r="B72" s="7" t="str">
        <f>VLOOKUP(C72,'Organisation names'!$B$4:$D$130,3,FALSE)</f>
        <v>Greater Manchester</v>
      </c>
      <c r="C72" s="7" t="s">
        <v>73</v>
      </c>
      <c r="D72" s="7" t="str">
        <f>VLOOKUP(C72,'Organisation names'!$B$4:$D$130,2,FALSE)</f>
        <v>Northern Care Alliance NHS Foundation Trust</v>
      </c>
      <c r="E72" s="72">
        <v>249</v>
      </c>
      <c r="F72" s="72">
        <v>87</v>
      </c>
      <c r="G72" s="72">
        <v>36</v>
      </c>
      <c r="H72" s="21">
        <v>0.85140562057495117</v>
      </c>
      <c r="I72" s="27" t="s">
        <v>471</v>
      </c>
      <c r="J72" s="27" t="s">
        <v>569</v>
      </c>
      <c r="K72" s="21">
        <v>0.5517241358757019</v>
      </c>
      <c r="L72" s="21">
        <v>0.63218390941619873</v>
      </c>
      <c r="M72" s="21">
        <v>0.47826087474822998</v>
      </c>
      <c r="N72" s="21">
        <v>0.25517240166664118</v>
      </c>
      <c r="O72" s="21">
        <v>1</v>
      </c>
      <c r="P72" s="21">
        <v>0.61847388744354248</v>
      </c>
      <c r="Q72" s="21">
        <v>0.5056532621383667</v>
      </c>
      <c r="R72" s="21">
        <v>0.18743801116943359</v>
      </c>
    </row>
    <row r="73" spans="1:18" s="7" customFormat="1" x14ac:dyDescent="0.45">
      <c r="A73" s="7" t="s">
        <v>394</v>
      </c>
      <c r="B73" s="7" t="str">
        <f>VLOOKUP(C73,'Organisation names'!$B$4:$D$130,3,FALSE)</f>
        <v>Greater Manchester</v>
      </c>
      <c r="C73" s="7" t="s">
        <v>74</v>
      </c>
      <c r="D73" s="7" t="str">
        <f>VLOOKUP(C73,'Organisation names'!$B$4:$D$130,2,FALSE)</f>
        <v>Bolton NHS Foundation Trust</v>
      </c>
      <c r="E73" s="72">
        <v>74</v>
      </c>
      <c r="F73" s="72">
        <v>24</v>
      </c>
      <c r="G73" s="74" t="s">
        <v>135</v>
      </c>
      <c r="H73" s="21">
        <v>0.86486488580703735</v>
      </c>
      <c r="I73" s="27" t="s">
        <v>472</v>
      </c>
      <c r="J73" s="74" t="s">
        <v>135</v>
      </c>
      <c r="K73" s="21">
        <v>0.79166668653488159</v>
      </c>
      <c r="L73" s="21">
        <v>0.83333331346511841</v>
      </c>
      <c r="M73" s="21">
        <v>0.5</v>
      </c>
      <c r="N73" s="21">
        <v>0.15555556118488309</v>
      </c>
      <c r="O73" s="21">
        <v>0.92500001192092896</v>
      </c>
      <c r="P73" s="21">
        <v>0.5</v>
      </c>
      <c r="Q73" s="21">
        <v>0.62972664833068848</v>
      </c>
      <c r="R73" s="21">
        <v>0.14877414703369141</v>
      </c>
    </row>
    <row r="74" spans="1:18" s="7" customFormat="1" x14ac:dyDescent="0.45">
      <c r="A74" s="7" t="s">
        <v>394</v>
      </c>
      <c r="B74" s="7" t="str">
        <f>VLOOKUP(C74,'Organisation names'!$B$4:$D$130,3,FALSE)</f>
        <v>Greater Manchester</v>
      </c>
      <c r="C74" s="7" t="s">
        <v>75</v>
      </c>
      <c r="D74" s="7" t="str">
        <f>VLOOKUP(C74,'Organisation names'!$B$4:$D$130,2,FALSE)</f>
        <v>Tameside and Glossop Integrated Care NHS Foundation Trust</v>
      </c>
      <c r="E74" s="72">
        <v>56</v>
      </c>
      <c r="F74" s="72">
        <v>12</v>
      </c>
      <c r="G74" s="74" t="s">
        <v>135</v>
      </c>
      <c r="H74" s="21">
        <v>0.78571426868438721</v>
      </c>
      <c r="I74" s="27" t="s">
        <v>473</v>
      </c>
      <c r="J74" s="74" t="s">
        <v>135</v>
      </c>
      <c r="K74" s="21">
        <v>0.5</v>
      </c>
      <c r="L74" s="21">
        <v>0.66666668653488159</v>
      </c>
      <c r="M74" s="21">
        <v>0.53846156597137451</v>
      </c>
      <c r="N74" s="21">
        <v>0.38461539149284357</v>
      </c>
      <c r="O74" s="21">
        <v>0.97368419170379639</v>
      </c>
      <c r="P74" s="21">
        <v>0.58928573131561279</v>
      </c>
      <c r="Q74" s="21">
        <v>0.6034088134765625</v>
      </c>
      <c r="R74" s="21">
        <v>0.33500906825065607</v>
      </c>
    </row>
    <row r="75" spans="1:18" s="7" customFormat="1" x14ac:dyDescent="0.45">
      <c r="A75" s="7" t="s">
        <v>394</v>
      </c>
      <c r="B75" s="7" t="str">
        <f>VLOOKUP(C75,'Organisation names'!$B$4:$D$130,3,FALSE)</f>
        <v>Thames Valley</v>
      </c>
      <c r="C75" s="7" t="s">
        <v>76</v>
      </c>
      <c r="D75" s="7" t="str">
        <f>VLOOKUP(C75,'Organisation names'!$B$4:$D$130,2,FALSE)</f>
        <v>Great Western Hospitals NHS Foundation Trust</v>
      </c>
      <c r="E75" s="72">
        <v>111</v>
      </c>
      <c r="F75" s="72">
        <v>42</v>
      </c>
      <c r="G75" s="72">
        <v>17</v>
      </c>
      <c r="H75" s="21">
        <v>0.85585588216781616</v>
      </c>
      <c r="I75" s="27" t="s">
        <v>474</v>
      </c>
      <c r="J75" s="27" t="s">
        <v>570</v>
      </c>
      <c r="K75" s="21">
        <v>0.71428573131561279</v>
      </c>
      <c r="L75" s="21">
        <v>0.83333331346511841</v>
      </c>
      <c r="M75" s="21">
        <v>0.47499999403953552</v>
      </c>
      <c r="N75" s="21">
        <v>0.2222222238779068</v>
      </c>
      <c r="O75" s="21">
        <v>0.83146065473556519</v>
      </c>
      <c r="P75" s="21">
        <v>0.64864861965179443</v>
      </c>
      <c r="Q75" s="21">
        <v>0.54864561557769775</v>
      </c>
      <c r="R75" s="21">
        <v>0.249979168176651</v>
      </c>
    </row>
    <row r="76" spans="1:18" s="7" customFormat="1" x14ac:dyDescent="0.45">
      <c r="A76" s="7" t="s">
        <v>394</v>
      </c>
      <c r="B76" s="7" t="str">
        <f>VLOOKUP(C76,'Organisation names'!$B$4:$D$130,3,FALSE)</f>
        <v>Wessex</v>
      </c>
      <c r="C76" s="7" t="s">
        <v>77</v>
      </c>
      <c r="D76" s="7" t="str">
        <f>VLOOKUP(C76,'Organisation names'!$B$4:$D$130,2,FALSE)</f>
        <v>Hampshire Hospitals NHS Foundation Trust</v>
      </c>
      <c r="E76" s="72">
        <v>137</v>
      </c>
      <c r="F76" s="72">
        <v>51</v>
      </c>
      <c r="G76" s="72">
        <v>19</v>
      </c>
      <c r="H76" s="21">
        <v>0.77372264862060547</v>
      </c>
      <c r="I76" s="27" t="s">
        <v>475</v>
      </c>
      <c r="J76" s="27" t="s">
        <v>571</v>
      </c>
      <c r="K76" s="21">
        <v>0.70588237047195435</v>
      </c>
      <c r="L76" s="21">
        <v>0.72549021244049072</v>
      </c>
      <c r="M76" s="21">
        <v>0.58974361419677734</v>
      </c>
      <c r="N76" s="21">
        <v>0.3035714328289032</v>
      </c>
      <c r="O76" s="21">
        <v>0.89795917272567749</v>
      </c>
      <c r="P76" s="21">
        <v>0.54744523763656616</v>
      </c>
      <c r="Q76" s="21">
        <v>0.53862643241882324</v>
      </c>
      <c r="R76" s="21">
        <v>0.2405376136302948</v>
      </c>
    </row>
    <row r="77" spans="1:18" s="7" customFormat="1" x14ac:dyDescent="0.45">
      <c r="A77" s="7" t="s">
        <v>394</v>
      </c>
      <c r="B77" s="7" t="str">
        <f>VLOOKUP(C77,'Organisation names'!$B$4:$D$130,3,FALSE)</f>
        <v>Kent and Medway</v>
      </c>
      <c r="C77" s="7" t="s">
        <v>78</v>
      </c>
      <c r="D77" s="7" t="str">
        <f>VLOOKUP(C77,'Organisation names'!$B$4:$D$130,2,FALSE)</f>
        <v>Dartford and Gravesham NHS Trust</v>
      </c>
      <c r="E77" s="72">
        <v>85</v>
      </c>
      <c r="F77" s="72">
        <v>22</v>
      </c>
      <c r="G77" s="72">
        <v>11</v>
      </c>
      <c r="H77" s="21">
        <v>0.74117648601531982</v>
      </c>
      <c r="I77" s="27" t="s">
        <v>476</v>
      </c>
      <c r="J77" s="27" t="s">
        <v>572</v>
      </c>
      <c r="K77" s="21">
        <v>0.45454546809196472</v>
      </c>
      <c r="L77" s="21">
        <v>0.5</v>
      </c>
      <c r="M77" s="21">
        <v>0.6071428656578064</v>
      </c>
      <c r="N77" s="21">
        <v>0.2142857164144516</v>
      </c>
      <c r="O77" s="21">
        <v>0.984375</v>
      </c>
      <c r="P77" s="21">
        <v>0.58823531866073608</v>
      </c>
      <c r="Q77" s="21">
        <v>0.50418829917907715</v>
      </c>
      <c r="R77" s="21">
        <v>0.18744975328445429</v>
      </c>
    </row>
    <row r="78" spans="1:18" s="7" customFormat="1" x14ac:dyDescent="0.45">
      <c r="A78" s="7" t="s">
        <v>394</v>
      </c>
      <c r="B78" s="7" t="str">
        <f>VLOOKUP(C78,'Organisation names'!$B$4:$D$130,3,FALSE)</f>
        <v>West Midlands</v>
      </c>
      <c r="C78" s="7" t="s">
        <v>79</v>
      </c>
      <c r="D78" s="7" t="str">
        <f>VLOOKUP(C78,'Organisation names'!$B$4:$D$130,2,FALSE)</f>
        <v>The Dudley Group NHS Foundation Trust</v>
      </c>
      <c r="E78" s="72">
        <v>132</v>
      </c>
      <c r="F78" s="72">
        <v>31</v>
      </c>
      <c r="G78" s="72">
        <v>12</v>
      </c>
      <c r="H78" s="21">
        <v>0.88636362552642822</v>
      </c>
      <c r="I78" s="27" t="s">
        <v>477</v>
      </c>
      <c r="J78" s="27" t="s">
        <v>573</v>
      </c>
      <c r="K78" s="21">
        <v>0.67741936445236206</v>
      </c>
      <c r="L78" s="21">
        <v>0.70967739820480347</v>
      </c>
      <c r="M78" s="21">
        <v>0.51351350545883179</v>
      </c>
      <c r="N78" s="21">
        <v>0.14545454084873199</v>
      </c>
      <c r="O78" s="21">
        <v>0.9452054500579834</v>
      </c>
      <c r="P78" s="21">
        <v>0.47727271914482122</v>
      </c>
      <c r="Q78" s="21">
        <v>0.56127721071243286</v>
      </c>
      <c r="R78" s="21">
        <v>0.20892623066902161</v>
      </c>
    </row>
    <row r="79" spans="1:18" s="7" customFormat="1" x14ac:dyDescent="0.45">
      <c r="A79" s="7" t="s">
        <v>394</v>
      </c>
      <c r="B79" s="7" t="str">
        <f>VLOOKUP(C79,'Organisation names'!$B$4:$D$130,3,FALSE)</f>
        <v>Northern</v>
      </c>
      <c r="C79" s="7" t="s">
        <v>80</v>
      </c>
      <c r="D79" s="7" t="str">
        <f>VLOOKUP(C79,'Organisation names'!$B$4:$D$130,2,FALSE)</f>
        <v>North Cumbria Integrated Care NHS Foundation Trust</v>
      </c>
      <c r="E79" s="72">
        <v>89</v>
      </c>
      <c r="F79" s="72">
        <v>17</v>
      </c>
      <c r="G79" s="74" t="s">
        <v>135</v>
      </c>
      <c r="H79" s="21">
        <v>0.50561797618865967</v>
      </c>
      <c r="I79" s="27" t="s">
        <v>478</v>
      </c>
      <c r="J79" s="74" t="s">
        <v>135</v>
      </c>
      <c r="K79" s="21">
        <v>0.52941179275512695</v>
      </c>
      <c r="L79" s="21">
        <v>0.70588237047195435</v>
      </c>
      <c r="M79" s="21">
        <v>0.3333333432674408</v>
      </c>
      <c r="N79" s="21">
        <v>0.18181818723678589</v>
      </c>
      <c r="O79" s="21">
        <v>0.69230771064758301</v>
      </c>
      <c r="P79" s="21">
        <v>0.34831461310386658</v>
      </c>
      <c r="Q79" s="21">
        <v>0.40464010834693909</v>
      </c>
      <c r="R79" s="21">
        <v>0.16653844714164731</v>
      </c>
    </row>
    <row r="80" spans="1:18" s="7" customFormat="1" x14ac:dyDescent="0.45">
      <c r="A80" s="7" t="s">
        <v>394</v>
      </c>
      <c r="B80" s="7" t="str">
        <f>VLOOKUP(C80,'Organisation names'!$B$4:$D$130,3,FALSE)</f>
        <v>East Midlands</v>
      </c>
      <c r="C80" s="7" t="s">
        <v>81</v>
      </c>
      <c r="D80" s="7" t="str">
        <f>VLOOKUP(C80,'Organisation names'!$B$4:$D$130,2,FALSE)</f>
        <v>Kettering General Hospital NHS Foundation Trust</v>
      </c>
      <c r="E80" s="72">
        <v>75</v>
      </c>
      <c r="F80" s="74" t="s">
        <v>135</v>
      </c>
      <c r="G80" s="74" t="s">
        <v>135</v>
      </c>
      <c r="H80" s="21">
        <v>0.61333334445953369</v>
      </c>
      <c r="I80" s="74" t="s">
        <v>135</v>
      </c>
      <c r="J80" s="74" t="s">
        <v>135</v>
      </c>
      <c r="K80" s="74" t="s">
        <v>135</v>
      </c>
      <c r="L80" s="74" t="s">
        <v>135</v>
      </c>
      <c r="M80" s="21">
        <v>0.28571429848670959</v>
      </c>
      <c r="N80" s="21">
        <v>0.22857142984867099</v>
      </c>
      <c r="O80" s="21">
        <v>0.90909093618392944</v>
      </c>
      <c r="P80" s="21">
        <v>0.30666667222976679</v>
      </c>
      <c r="Q80" s="21">
        <v>0.43867349624633789</v>
      </c>
      <c r="R80" s="21">
        <v>0.12572088837623599</v>
      </c>
    </row>
    <row r="81" spans="1:18" s="7" customFormat="1" x14ac:dyDescent="0.45">
      <c r="A81" s="7" t="s">
        <v>394</v>
      </c>
      <c r="B81" s="7" t="str">
        <f>VLOOKUP(C81,'Organisation names'!$B$4:$D$130,3,FALSE)</f>
        <v>East Midlands</v>
      </c>
      <c r="C81" s="7" t="s">
        <v>82</v>
      </c>
      <c r="D81" s="7" t="str">
        <f>VLOOKUP(C81,'Organisation names'!$B$4:$D$130,2,FALSE)</f>
        <v>Northampton General Hospital NHS Trust</v>
      </c>
      <c r="E81" s="72">
        <v>100</v>
      </c>
      <c r="F81" s="72">
        <v>31</v>
      </c>
      <c r="G81" s="72">
        <v>13</v>
      </c>
      <c r="H81" s="21">
        <v>0.75</v>
      </c>
      <c r="I81" s="27" t="s">
        <v>479</v>
      </c>
      <c r="J81" s="27" t="s">
        <v>574</v>
      </c>
      <c r="K81" s="21">
        <v>0.48387095332145691</v>
      </c>
      <c r="L81" s="21">
        <v>0.70967739820480347</v>
      </c>
      <c r="M81" s="21">
        <v>0.40000000596046448</v>
      </c>
      <c r="N81" s="21">
        <v>0.19607843458652499</v>
      </c>
      <c r="O81" s="21">
        <v>0.85416668653488159</v>
      </c>
      <c r="P81" s="21">
        <v>0.37999999523162842</v>
      </c>
      <c r="Q81" s="21">
        <v>0.50815075635910034</v>
      </c>
      <c r="R81" s="21">
        <v>0.18510772287845609</v>
      </c>
    </row>
    <row r="82" spans="1:18" s="7" customFormat="1" x14ac:dyDescent="0.45">
      <c r="A82" s="7" t="s">
        <v>394</v>
      </c>
      <c r="B82" s="7" t="str">
        <f>VLOOKUP(C82,'Organisation names'!$B$4:$D$130,3,FALSE)</f>
        <v>Somerset, Wiltshire, Avon and Gloucestershire</v>
      </c>
      <c r="C82" s="7" t="s">
        <v>83</v>
      </c>
      <c r="D82" s="7" t="str">
        <f>VLOOKUP(C82,'Organisation names'!$B$4:$D$130,2,FALSE)</f>
        <v>Salisbury NHS Foundation Trust</v>
      </c>
      <c r="E82" s="72">
        <v>86</v>
      </c>
      <c r="F82" s="72">
        <v>24</v>
      </c>
      <c r="G82" s="74" t="s">
        <v>135</v>
      </c>
      <c r="H82" s="21">
        <v>0.91860467195510864</v>
      </c>
      <c r="I82" s="27" t="s">
        <v>480</v>
      </c>
      <c r="J82" s="74" t="s">
        <v>135</v>
      </c>
      <c r="K82" s="21">
        <v>0.58333331346511841</v>
      </c>
      <c r="L82" s="21">
        <v>0.79166668653488159</v>
      </c>
      <c r="M82" s="21">
        <v>0.48275861144065862</v>
      </c>
      <c r="N82" s="21">
        <v>0.2127659618854523</v>
      </c>
      <c r="O82" s="21">
        <v>0.97368419170379639</v>
      </c>
      <c r="P82" s="21">
        <v>0.5</v>
      </c>
      <c r="Q82" s="21">
        <v>0.51227456331253052</v>
      </c>
      <c r="R82" s="21">
        <v>0.192350298166275</v>
      </c>
    </row>
    <row r="83" spans="1:18" s="7" customFormat="1" x14ac:dyDescent="0.45">
      <c r="A83" s="7" t="s">
        <v>394</v>
      </c>
      <c r="B83" s="7" t="str">
        <f>VLOOKUP(C83,'Organisation names'!$B$4:$D$130,3,FALSE)</f>
        <v>South Yorkshire and Bassetlaw</v>
      </c>
      <c r="C83" s="7" t="s">
        <v>84</v>
      </c>
      <c r="D83" s="7" t="str">
        <f>VLOOKUP(C83,'Organisation names'!$B$4:$D$130,2,FALSE)</f>
        <v>Doncaster and Bassetlaw Teaching Hospitals NHS Foundation Trust</v>
      </c>
      <c r="E83" s="72">
        <v>147</v>
      </c>
      <c r="F83" s="72">
        <v>36</v>
      </c>
      <c r="G83" s="72">
        <v>11</v>
      </c>
      <c r="H83" s="21">
        <v>0.8163265585899353</v>
      </c>
      <c r="I83" s="27" t="s">
        <v>481</v>
      </c>
      <c r="J83" s="27" t="s">
        <v>575</v>
      </c>
      <c r="K83" s="21">
        <v>0.6388888955116272</v>
      </c>
      <c r="L83" s="21">
        <v>0.69444441795349121</v>
      </c>
      <c r="M83" s="21">
        <v>0.57142859697341919</v>
      </c>
      <c r="N83" s="21">
        <v>0.1704545468091965</v>
      </c>
      <c r="O83" s="21">
        <v>0.95495498180389404</v>
      </c>
      <c r="P83" s="21">
        <v>0.29251700639724731</v>
      </c>
      <c r="Q83" s="21">
        <v>0.46882802248001099</v>
      </c>
      <c r="R83" s="21">
        <v>0.26078549027442932</v>
      </c>
    </row>
    <row r="84" spans="1:18" s="7" customFormat="1" x14ac:dyDescent="0.45">
      <c r="A84" s="7" t="s">
        <v>394</v>
      </c>
      <c r="B84" s="7" t="str">
        <f>VLOOKUP(C84,'Organisation names'!$B$4:$D$130,3,FALSE)</f>
        <v>Kent and Medway</v>
      </c>
      <c r="C84" s="7" t="s">
        <v>85</v>
      </c>
      <c r="D84" s="7" t="str">
        <f>VLOOKUP(C84,'Organisation names'!$B$4:$D$130,2,FALSE)</f>
        <v>Medway NHS Foundation Trust</v>
      </c>
      <c r="E84" s="72">
        <v>111</v>
      </c>
      <c r="F84" s="72">
        <v>26</v>
      </c>
      <c r="G84" s="72">
        <v>10</v>
      </c>
      <c r="H84" s="21">
        <v>0.55855858325958252</v>
      </c>
      <c r="I84" s="27" t="s">
        <v>429</v>
      </c>
      <c r="J84" s="27" t="s">
        <v>576</v>
      </c>
      <c r="K84" s="21">
        <v>0.61538463830947876</v>
      </c>
      <c r="L84" s="21">
        <v>0.69230771064758301</v>
      </c>
      <c r="M84" s="21">
        <v>0.46875</v>
      </c>
      <c r="N84" s="21">
        <v>0.3125</v>
      </c>
      <c r="O84" s="21">
        <v>0.96969699859619141</v>
      </c>
      <c r="P84" s="21">
        <v>0.4954954981803894</v>
      </c>
      <c r="Q84" s="21">
        <v>0.49712145328521729</v>
      </c>
      <c r="R84" s="21">
        <v>0.17088358104228971</v>
      </c>
    </row>
    <row r="85" spans="1:18" s="7" customFormat="1" x14ac:dyDescent="0.45">
      <c r="A85" s="7" t="s">
        <v>394</v>
      </c>
      <c r="B85" s="7" t="str">
        <f>VLOOKUP(C85,'Organisation names'!$B$4:$D$130,3,FALSE)</f>
        <v>RM Partners</v>
      </c>
      <c r="C85" s="7" t="s">
        <v>86</v>
      </c>
      <c r="D85" s="7" t="str">
        <f>VLOOKUP(C85,'Organisation names'!$B$4:$D$130,2,FALSE)</f>
        <v>The Royal Marsden NHS Foundation Trust</v>
      </c>
      <c r="E85" s="72">
        <v>94</v>
      </c>
      <c r="F85" s="72">
        <v>26</v>
      </c>
      <c r="G85" s="72">
        <v>25</v>
      </c>
      <c r="H85" s="21">
        <v>0.59574466943740845</v>
      </c>
      <c r="I85" s="27" t="s">
        <v>482</v>
      </c>
      <c r="J85" s="27" t="s">
        <v>577</v>
      </c>
      <c r="K85" s="21">
        <v>0.115384615957737</v>
      </c>
      <c r="L85" s="21">
        <v>0.19230769574642179</v>
      </c>
      <c r="M85" s="21">
        <v>0.79166668653488159</v>
      </c>
      <c r="N85" s="21">
        <v>0.76190477609634399</v>
      </c>
      <c r="O85" s="21">
        <v>0.96296298503875732</v>
      </c>
      <c r="P85" s="21">
        <v>0.78723406791687012</v>
      </c>
      <c r="Q85" s="21">
        <v>0.55743294954299927</v>
      </c>
      <c r="R85" s="21">
        <v>0.2476749271154404</v>
      </c>
    </row>
    <row r="86" spans="1:18" s="7" customFormat="1" x14ac:dyDescent="0.45">
      <c r="A86" s="7" t="s">
        <v>394</v>
      </c>
      <c r="B86" s="7" t="str">
        <f>VLOOKUP(C86,'Organisation names'!$B$4:$D$130,3,FALSE)</f>
        <v>RM Partners</v>
      </c>
      <c r="C86" s="7" t="s">
        <v>87</v>
      </c>
      <c r="D86" s="7" t="str">
        <f>VLOOKUP(C86,'Organisation names'!$B$4:$D$130,2,FALSE)</f>
        <v>Chelsea and Westminster Hospital NHS Foundation Trust</v>
      </c>
      <c r="E86" s="72">
        <v>114</v>
      </c>
      <c r="F86" s="72">
        <v>30</v>
      </c>
      <c r="G86" s="72">
        <v>21</v>
      </c>
      <c r="H86" s="21">
        <v>0.89473682641983032</v>
      </c>
      <c r="I86" s="27" t="s">
        <v>483</v>
      </c>
      <c r="J86" s="27" t="s">
        <v>578</v>
      </c>
      <c r="K86" s="21">
        <v>0.43333333730697632</v>
      </c>
      <c r="L86" s="21">
        <v>0.60000002384185791</v>
      </c>
      <c r="M86" s="21">
        <v>0.66666668653488159</v>
      </c>
      <c r="N86" s="21">
        <v>0.49090909957885742</v>
      </c>
      <c r="O86" s="21">
        <v>0.96666663885116577</v>
      </c>
      <c r="P86" s="21">
        <v>0.4649122953414917</v>
      </c>
      <c r="Q86" s="21">
        <v>0.53300619125366211</v>
      </c>
      <c r="R86" s="21">
        <v>0.30517774820327759</v>
      </c>
    </row>
    <row r="87" spans="1:18" s="7" customFormat="1" x14ac:dyDescent="0.45">
      <c r="A87" s="7" t="s">
        <v>394</v>
      </c>
      <c r="B87" s="7" t="str">
        <f>VLOOKUP(C87,'Organisation names'!$B$4:$D$130,3,FALSE)</f>
        <v>East of England</v>
      </c>
      <c r="C87" s="7" t="s">
        <v>88</v>
      </c>
      <c r="D87" s="7" t="str">
        <f>VLOOKUP(C87,'Organisation names'!$B$4:$D$130,2,FALSE)</f>
        <v>The Princess Alexandra Hospital NHS Trust</v>
      </c>
      <c r="E87" s="72">
        <v>60</v>
      </c>
      <c r="F87" s="74" t="s">
        <v>135</v>
      </c>
      <c r="G87" s="74" t="s">
        <v>135</v>
      </c>
      <c r="H87" s="21">
        <v>0.83333331346511841</v>
      </c>
      <c r="I87" s="74" t="s">
        <v>135</v>
      </c>
      <c r="J87" s="74" t="s">
        <v>135</v>
      </c>
      <c r="K87" s="74" t="s">
        <v>135</v>
      </c>
      <c r="L87" s="74" t="s">
        <v>135</v>
      </c>
      <c r="M87" s="21">
        <v>0.30000001192092901</v>
      </c>
      <c r="N87" s="21">
        <v>0.23076923191547391</v>
      </c>
      <c r="O87" s="21">
        <v>1</v>
      </c>
      <c r="P87" s="21">
        <v>0.68333333730697632</v>
      </c>
      <c r="Q87" s="21">
        <v>0.66146153211593628</v>
      </c>
      <c r="R87" s="21">
        <v>0.18110731244087219</v>
      </c>
    </row>
    <row r="88" spans="1:18" s="7" customFormat="1" x14ac:dyDescent="0.45">
      <c r="A88" s="7" t="s">
        <v>394</v>
      </c>
      <c r="B88" s="7" t="str">
        <f>VLOOKUP(C88,'Organisation names'!$B$4:$D$130,3,FALSE)</f>
        <v>North East London</v>
      </c>
      <c r="C88" s="7" t="s">
        <v>89</v>
      </c>
      <c r="D88" s="7" t="str">
        <f>VLOOKUP(C88,'Organisation names'!$B$4:$D$130,2,FALSE)</f>
        <v>Homerton Healthcare NHS Foundation Trust</v>
      </c>
      <c r="E88" s="72">
        <v>44</v>
      </c>
      <c r="F88" s="74" t="s">
        <v>135</v>
      </c>
      <c r="G88" s="74" t="s">
        <v>135</v>
      </c>
      <c r="H88" s="21">
        <v>0.88636362552642822</v>
      </c>
      <c r="I88" s="74" t="s">
        <v>135</v>
      </c>
      <c r="J88" s="74" t="s">
        <v>135</v>
      </c>
      <c r="K88" s="74" t="s">
        <v>135</v>
      </c>
      <c r="L88" s="74" t="s">
        <v>135</v>
      </c>
      <c r="M88" s="46" t="s">
        <v>135</v>
      </c>
      <c r="N88" s="21">
        <v>0.26923078298568731</v>
      </c>
      <c r="O88" s="46" t="s">
        <v>135</v>
      </c>
      <c r="P88" s="21">
        <v>0.38636362552642822</v>
      </c>
      <c r="Q88" s="21">
        <v>0.46109941601753229</v>
      </c>
      <c r="R88" s="21">
        <v>0.30686900019645691</v>
      </c>
    </row>
    <row r="89" spans="1:18" s="7" customFormat="1" x14ac:dyDescent="0.45">
      <c r="A89" s="7" t="s">
        <v>394</v>
      </c>
      <c r="B89" s="7" t="str">
        <f>VLOOKUP(C89,'Organisation names'!$B$4:$D$130,3,FALSE)</f>
        <v>Northern</v>
      </c>
      <c r="C89" s="7" t="s">
        <v>90</v>
      </c>
      <c r="D89" s="7" t="str">
        <f>VLOOKUP(C89,'Organisation names'!$B$4:$D$130,2,FALSE)</f>
        <v>Gateshead Health NHS Foundation Trust</v>
      </c>
      <c r="E89" s="72">
        <v>56</v>
      </c>
      <c r="F89" s="72">
        <v>11</v>
      </c>
      <c r="G89" s="74" t="s">
        <v>135</v>
      </c>
      <c r="H89" s="21">
        <v>0.875</v>
      </c>
      <c r="I89" s="27" t="s">
        <v>484</v>
      </c>
      <c r="J89" s="74" t="s">
        <v>135</v>
      </c>
      <c r="K89" s="21">
        <v>0.54545456171035767</v>
      </c>
      <c r="L89" s="21">
        <v>0.54545456171035767</v>
      </c>
      <c r="M89" s="46" t="s">
        <v>135</v>
      </c>
      <c r="N89" s="21">
        <v>0.22580644488334661</v>
      </c>
      <c r="O89" s="21">
        <v>0.97058820724487305</v>
      </c>
      <c r="P89" s="21">
        <v>0.53571426868438721</v>
      </c>
      <c r="Q89" s="21">
        <v>0.46042934060096741</v>
      </c>
      <c r="R89" s="21">
        <v>0.1387179493904114</v>
      </c>
    </row>
    <row r="90" spans="1:18" s="7" customFormat="1" x14ac:dyDescent="0.45">
      <c r="A90" s="7" t="s">
        <v>394</v>
      </c>
      <c r="B90" s="7" t="str">
        <f>VLOOKUP(C90,'Organisation names'!$B$4:$D$130,3,FALSE)</f>
        <v>West Yorkshire and Harrogate</v>
      </c>
      <c r="C90" s="7" t="s">
        <v>91</v>
      </c>
      <c r="D90" s="7" t="str">
        <f>VLOOKUP(C90,'Organisation names'!$B$4:$D$130,2,FALSE)</f>
        <v>Leeds Teaching Hospitals NHS Trust</v>
      </c>
      <c r="E90" s="72">
        <v>262</v>
      </c>
      <c r="F90" s="72">
        <v>63</v>
      </c>
      <c r="G90" s="72">
        <v>28</v>
      </c>
      <c r="H90" s="21">
        <v>0.91221374273300171</v>
      </c>
      <c r="I90" s="27" t="s">
        <v>485</v>
      </c>
      <c r="J90" s="27" t="s">
        <v>579</v>
      </c>
      <c r="K90" s="21">
        <v>0.50793653726577759</v>
      </c>
      <c r="L90" s="21">
        <v>0.57142859697341919</v>
      </c>
      <c r="M90" s="21">
        <v>0.53333336114883423</v>
      </c>
      <c r="N90" s="21">
        <v>0.24285714328289029</v>
      </c>
      <c r="O90" s="21">
        <v>0.33644860982894897</v>
      </c>
      <c r="P90" s="21">
        <v>0.67175573110580444</v>
      </c>
      <c r="Q90" s="21">
        <v>0.56328672170639038</v>
      </c>
      <c r="R90" s="21">
        <v>0.23336334526538849</v>
      </c>
    </row>
    <row r="91" spans="1:18" s="7" customFormat="1" x14ac:dyDescent="0.45">
      <c r="A91" s="7" t="s">
        <v>394</v>
      </c>
      <c r="B91" s="7" t="str">
        <f>VLOOKUP(C91,'Organisation names'!$B$4:$D$130,3,FALSE)</f>
        <v>Greater Manchester</v>
      </c>
      <c r="C91" s="7" t="s">
        <v>92</v>
      </c>
      <c r="D91" s="7" t="str">
        <f>VLOOKUP(C91,'Organisation names'!$B$4:$D$130,2,FALSE)</f>
        <v>Wrightington, Wigan and Leigh NHS Foundation Trust</v>
      </c>
      <c r="E91" s="72">
        <v>98</v>
      </c>
      <c r="F91" s="72">
        <v>27</v>
      </c>
      <c r="G91" s="74" t="s">
        <v>135</v>
      </c>
      <c r="H91" s="21">
        <v>0.86734694242477417</v>
      </c>
      <c r="I91" s="27" t="s">
        <v>291</v>
      </c>
      <c r="J91" s="74" t="s">
        <v>135</v>
      </c>
      <c r="K91" s="21">
        <v>0.59259259700775146</v>
      </c>
      <c r="L91" s="21">
        <v>0.74074071645736694</v>
      </c>
      <c r="M91" s="21">
        <v>0.47368422150611877</v>
      </c>
      <c r="N91" s="21">
        <v>0.20000000298023221</v>
      </c>
      <c r="O91" s="21">
        <v>0.97183096408843994</v>
      </c>
      <c r="P91" s="21">
        <v>0.60204082727432251</v>
      </c>
      <c r="Q91" s="21">
        <v>0.6181262731552124</v>
      </c>
      <c r="R91" s="21">
        <v>0.2262187451124191</v>
      </c>
    </row>
    <row r="92" spans="1:18" s="7" customFormat="1" x14ac:dyDescent="0.45">
      <c r="A92" s="7" t="s">
        <v>394</v>
      </c>
      <c r="B92" s="7" t="str">
        <f>VLOOKUP(C92,'Organisation names'!$B$4:$D$130,3,FALSE)</f>
        <v>West Midlands</v>
      </c>
      <c r="C92" s="7" t="s">
        <v>93</v>
      </c>
      <c r="D92" s="7" t="str">
        <f>VLOOKUP(C92,'Organisation names'!$B$4:$D$130,2,FALSE)</f>
        <v>University Hospitals Birmingham NHS Foundation Trust</v>
      </c>
      <c r="E92" s="72">
        <v>368</v>
      </c>
      <c r="F92" s="72">
        <v>47</v>
      </c>
      <c r="G92" s="72">
        <v>24</v>
      </c>
      <c r="H92" s="21">
        <v>0.58152174949645996</v>
      </c>
      <c r="I92" s="27" t="s">
        <v>486</v>
      </c>
      <c r="J92" s="27" t="s">
        <v>580</v>
      </c>
      <c r="K92" s="21">
        <v>0.46808511018753052</v>
      </c>
      <c r="L92" s="21">
        <v>0.51063829660415649</v>
      </c>
      <c r="M92" s="21">
        <v>0.8095238208770752</v>
      </c>
      <c r="N92" s="21">
        <v>0.29838711023330688</v>
      </c>
      <c r="O92" s="21">
        <v>0.94814813137054443</v>
      </c>
      <c r="P92" s="21">
        <v>0.57336956262588501</v>
      </c>
      <c r="Q92" s="21">
        <v>0.51823168992996216</v>
      </c>
      <c r="R92" s="21">
        <v>0.24874557554721829</v>
      </c>
    </row>
    <row r="93" spans="1:18" s="7" customFormat="1" x14ac:dyDescent="0.45">
      <c r="A93" s="7" t="s">
        <v>394</v>
      </c>
      <c r="B93" s="7" t="str">
        <f>VLOOKUP(C93,'Organisation names'!$B$4:$D$130,3,FALSE)</f>
        <v>North Central London</v>
      </c>
      <c r="C93" s="7" t="s">
        <v>94</v>
      </c>
      <c r="D93" s="7" t="str">
        <f>VLOOKUP(C93,'Organisation names'!$B$4:$D$130,2,FALSE)</f>
        <v>University College London Hospitals NHS Foundation Trust</v>
      </c>
      <c r="E93" s="72">
        <v>57</v>
      </c>
      <c r="F93" s="72">
        <v>11</v>
      </c>
      <c r="G93" s="74" t="s">
        <v>135</v>
      </c>
      <c r="H93" s="21">
        <v>8.7719298899173737E-2</v>
      </c>
      <c r="I93" s="27" t="s">
        <v>487</v>
      </c>
      <c r="J93" s="74" t="s">
        <v>135</v>
      </c>
      <c r="K93" s="21">
        <v>0.54545456171035767</v>
      </c>
      <c r="L93" s="21">
        <v>0.72727274894714355</v>
      </c>
      <c r="M93" s="46" t="s">
        <v>135</v>
      </c>
      <c r="N93" s="21">
        <v>0.35294118523597717</v>
      </c>
      <c r="O93" s="46" t="s">
        <v>135</v>
      </c>
      <c r="P93" s="21">
        <v>0.38596490025520319</v>
      </c>
      <c r="Q93" s="21">
        <v>0.56428319215774536</v>
      </c>
      <c r="R93" s="21">
        <v>0.2300884872674942</v>
      </c>
    </row>
    <row r="94" spans="1:18" s="7" customFormat="1" x14ac:dyDescent="0.45">
      <c r="A94" s="7" t="s">
        <v>394</v>
      </c>
      <c r="B94" s="7" t="str">
        <f>VLOOKUP(C94,'Organisation names'!$B$4:$D$130,3,FALSE)</f>
        <v>Northern</v>
      </c>
      <c r="C94" s="7" t="s">
        <v>95</v>
      </c>
      <c r="D94" s="7" t="str">
        <f>VLOOKUP(C94,'Organisation names'!$B$4:$D$130,2,FALSE)</f>
        <v>The Newcastle Upon Tyne Hospitals NHS Foundation Trust</v>
      </c>
      <c r="E94" s="72">
        <v>326</v>
      </c>
      <c r="F94" s="72">
        <v>100</v>
      </c>
      <c r="G94" s="72">
        <v>71</v>
      </c>
      <c r="H94" s="21">
        <v>0.66871166229248047</v>
      </c>
      <c r="I94" s="27" t="s">
        <v>488</v>
      </c>
      <c r="J94" s="27" t="s">
        <v>581</v>
      </c>
      <c r="K94" s="21">
        <v>0.31999999284744263</v>
      </c>
      <c r="L94" s="21">
        <v>0.41999998688697809</v>
      </c>
      <c r="M94" s="21">
        <v>0.68421053886413574</v>
      </c>
      <c r="N94" s="21">
        <v>0.54545456171035767</v>
      </c>
      <c r="O94" s="21">
        <v>0.76651984453201294</v>
      </c>
      <c r="P94" s="21">
        <v>0.68711656332015991</v>
      </c>
      <c r="Q94" s="21">
        <v>0.58116424083709717</v>
      </c>
      <c r="R94" s="21">
        <v>0.26233521103858948</v>
      </c>
    </row>
    <row r="95" spans="1:18" s="7" customFormat="1" x14ac:dyDescent="0.45">
      <c r="A95" s="7" t="s">
        <v>394</v>
      </c>
      <c r="B95" s="7" t="str">
        <f>VLOOKUP(C95,'Organisation names'!$B$4:$D$130,3,FALSE)</f>
        <v>Somerset, Wiltshire, Avon and Gloucestershire</v>
      </c>
      <c r="C95" s="7" t="s">
        <v>96</v>
      </c>
      <c r="D95" s="7" t="str">
        <f>VLOOKUP(C95,'Organisation names'!$B$4:$D$130,2,FALSE)</f>
        <v>Gloucestershire Hospitals NHS Foundation Trust</v>
      </c>
      <c r="E95" s="72">
        <v>209</v>
      </c>
      <c r="F95" s="72">
        <v>69</v>
      </c>
      <c r="G95" s="72">
        <v>24</v>
      </c>
      <c r="H95" s="21">
        <v>0.85167461633682251</v>
      </c>
      <c r="I95" s="27" t="s">
        <v>489</v>
      </c>
      <c r="J95" s="27" t="s">
        <v>582</v>
      </c>
      <c r="K95" s="21">
        <v>0.59420287609100342</v>
      </c>
      <c r="L95" s="21">
        <v>0.76811593770980835</v>
      </c>
      <c r="M95" s="21">
        <v>0.37662336230278021</v>
      </c>
      <c r="N95" s="21">
        <v>0.2946428656578064</v>
      </c>
      <c r="O95" s="21">
        <v>0.847953200340271</v>
      </c>
      <c r="P95" s="21">
        <v>0.59808611869812012</v>
      </c>
      <c r="Q95" s="21">
        <v>0.48573184013366699</v>
      </c>
      <c r="R95" s="21">
        <v>0.18505799770355219</v>
      </c>
    </row>
    <row r="96" spans="1:18" s="7" customFormat="1" x14ac:dyDescent="0.45">
      <c r="A96" s="7" t="s">
        <v>394</v>
      </c>
      <c r="B96" s="7" t="str">
        <f>VLOOKUP(C96,'Organisation names'!$B$4:$D$130,3,FALSE)</f>
        <v>Northern</v>
      </c>
      <c r="C96" s="7" t="s">
        <v>97</v>
      </c>
      <c r="D96" s="7" t="str">
        <f>VLOOKUP(C96,'Organisation names'!$B$4:$D$130,2,FALSE)</f>
        <v>Northumbria Healthcare NHS Foundation Trust</v>
      </c>
      <c r="E96" s="72">
        <v>118</v>
      </c>
      <c r="F96" s="72">
        <v>35</v>
      </c>
      <c r="G96" s="72">
        <v>13</v>
      </c>
      <c r="H96" s="21">
        <v>0.87288135290145874</v>
      </c>
      <c r="I96" s="27" t="s">
        <v>490</v>
      </c>
      <c r="J96" s="27" t="s">
        <v>583</v>
      </c>
      <c r="K96" s="21">
        <v>0.68571430444717407</v>
      </c>
      <c r="L96" s="21">
        <v>0.77142858505249023</v>
      </c>
      <c r="M96" s="21">
        <v>0.4117647111415863</v>
      </c>
      <c r="N96" s="21">
        <v>0.1754385977983475</v>
      </c>
      <c r="O96" s="21">
        <v>0.8163265585899353</v>
      </c>
      <c r="P96" s="21">
        <v>0.44915252923965449</v>
      </c>
      <c r="Q96" s="21">
        <v>0.55280166864395142</v>
      </c>
      <c r="R96" s="21">
        <v>0.22338619828224179</v>
      </c>
    </row>
    <row r="97" spans="1:18" s="7" customFormat="1" x14ac:dyDescent="0.45">
      <c r="A97" s="7" t="s">
        <v>394</v>
      </c>
      <c r="B97" s="7" t="str">
        <f>VLOOKUP(C97,'Organisation names'!$B$4:$D$130,3,FALSE)</f>
        <v>East Midlands</v>
      </c>
      <c r="C97" s="7" t="s">
        <v>98</v>
      </c>
      <c r="D97" s="7" t="str">
        <f>VLOOKUP(C97,'Organisation names'!$B$4:$D$130,2,FALSE)</f>
        <v>University Hospitals Of Derby and Burton NHS Foundation Trust</v>
      </c>
      <c r="E97" s="72">
        <v>242</v>
      </c>
      <c r="F97" s="72">
        <v>79</v>
      </c>
      <c r="G97" s="72">
        <v>24</v>
      </c>
      <c r="H97" s="21">
        <v>0.83884298801422119</v>
      </c>
      <c r="I97" s="27" t="s">
        <v>491</v>
      </c>
      <c r="J97" s="27" t="s">
        <v>584</v>
      </c>
      <c r="K97" s="21">
        <v>0.43037974834442139</v>
      </c>
      <c r="L97" s="21">
        <v>0.5443037748336792</v>
      </c>
      <c r="M97" s="21">
        <v>0.37735849618911738</v>
      </c>
      <c r="N97" s="21">
        <v>0.1228070184588432</v>
      </c>
      <c r="O97" s="21">
        <v>0.82653063535690308</v>
      </c>
      <c r="P97" s="21">
        <v>0.5</v>
      </c>
      <c r="Q97" s="21">
        <v>0.52481693029403687</v>
      </c>
      <c r="R97" s="21">
        <v>0.19655387103557589</v>
      </c>
    </row>
    <row r="98" spans="1:18" s="7" customFormat="1" x14ac:dyDescent="0.45">
      <c r="A98" s="7" t="s">
        <v>394</v>
      </c>
      <c r="B98" s="7" t="str">
        <f>VLOOKUP(C98,'Organisation names'!$B$4:$D$130,3,FALSE)</f>
        <v>Thames Valley</v>
      </c>
      <c r="C98" s="7" t="s">
        <v>99</v>
      </c>
      <c r="D98" s="7" t="str">
        <f>VLOOKUP(C98,'Organisation names'!$B$4:$D$130,2,FALSE)</f>
        <v>Oxford University Hospitals NHS Foundation Trust</v>
      </c>
      <c r="E98" s="72">
        <v>264</v>
      </c>
      <c r="F98" s="72">
        <v>80</v>
      </c>
      <c r="G98" s="72">
        <v>51</v>
      </c>
      <c r="H98" s="21">
        <v>0.59469699859619141</v>
      </c>
      <c r="I98" s="27" t="s">
        <v>492</v>
      </c>
      <c r="J98" s="27" t="s">
        <v>585</v>
      </c>
      <c r="K98" s="21">
        <v>0.60000002384185791</v>
      </c>
      <c r="L98" s="21">
        <v>0.6875</v>
      </c>
      <c r="M98" s="21">
        <v>0.59493672847747803</v>
      </c>
      <c r="N98" s="21">
        <v>0.40000000596046448</v>
      </c>
      <c r="O98" s="21">
        <v>1</v>
      </c>
      <c r="P98" s="21">
        <v>0.64772725105285645</v>
      </c>
      <c r="Q98" s="21">
        <v>0.51500999927520752</v>
      </c>
      <c r="R98" s="21">
        <v>0.22200137376785281</v>
      </c>
    </row>
    <row r="99" spans="1:18" s="7" customFormat="1" x14ac:dyDescent="0.45">
      <c r="A99" s="7" t="s">
        <v>394</v>
      </c>
      <c r="B99" s="7" t="str">
        <f>VLOOKUP(C99,'Organisation names'!$B$4:$D$130,3,FALSE)</f>
        <v>Surrey and Sussex</v>
      </c>
      <c r="C99" s="7" t="s">
        <v>100</v>
      </c>
      <c r="D99" s="7" t="str">
        <f>VLOOKUP(C99,'Organisation names'!$B$4:$D$130,2,FALSE)</f>
        <v>Ashford and St Peter's Hospitals NHS Foundation Trust</v>
      </c>
      <c r="E99" s="72">
        <v>118</v>
      </c>
      <c r="F99" s="72">
        <v>52</v>
      </c>
      <c r="G99" s="72">
        <v>19</v>
      </c>
      <c r="H99" s="21">
        <v>0.79661017656326294</v>
      </c>
      <c r="I99" s="27" t="s">
        <v>493</v>
      </c>
      <c r="J99" s="27" t="s">
        <v>586</v>
      </c>
      <c r="K99" s="21">
        <v>0.61538463830947876</v>
      </c>
      <c r="L99" s="21">
        <v>0.73076921701431274</v>
      </c>
      <c r="M99" s="21">
        <v>0.73076921701431274</v>
      </c>
      <c r="N99" s="21">
        <v>0.1666666716337204</v>
      </c>
      <c r="O99" s="21">
        <v>0.91935485601425171</v>
      </c>
      <c r="P99" s="21">
        <v>0.44915252923965449</v>
      </c>
      <c r="Q99" s="21">
        <v>0.55764448642730713</v>
      </c>
      <c r="R99" s="21">
        <v>0.26908278465271002</v>
      </c>
    </row>
    <row r="100" spans="1:18" s="7" customFormat="1" x14ac:dyDescent="0.45">
      <c r="A100" s="7" t="s">
        <v>394</v>
      </c>
      <c r="B100" s="7" t="str">
        <f>VLOOKUP(C100,'Organisation names'!$B$4:$D$130,3,FALSE)</f>
        <v>Surrey and Sussex</v>
      </c>
      <c r="C100" s="7" t="s">
        <v>101</v>
      </c>
      <c r="D100" s="7" t="str">
        <f>VLOOKUP(C100,'Organisation names'!$B$4:$D$130,2,FALSE)</f>
        <v>Surrey and Sussex Healthcare NHS Trust</v>
      </c>
      <c r="E100" s="72">
        <v>128</v>
      </c>
      <c r="F100" s="72">
        <v>44</v>
      </c>
      <c r="G100" s="72">
        <v>13</v>
      </c>
      <c r="H100" s="21">
        <v>0.7421875</v>
      </c>
      <c r="I100" s="27" t="s">
        <v>494</v>
      </c>
      <c r="J100" s="27" t="s">
        <v>587</v>
      </c>
      <c r="K100" s="21">
        <v>0.72727274894714355</v>
      </c>
      <c r="L100" s="21">
        <v>0.79545456171035767</v>
      </c>
      <c r="M100" s="21">
        <v>0.83333331346511841</v>
      </c>
      <c r="N100" s="21">
        <v>0.30188679695129389</v>
      </c>
      <c r="O100" s="21">
        <v>0.97435897588729858</v>
      </c>
      <c r="P100" s="21">
        <v>0.484375</v>
      </c>
      <c r="Q100" s="21">
        <v>0.53701239824295044</v>
      </c>
      <c r="R100" s="21">
        <v>0.28749457001686102</v>
      </c>
    </row>
    <row r="101" spans="1:18" s="7" customFormat="1" x14ac:dyDescent="0.45">
      <c r="A101" s="7" t="s">
        <v>394</v>
      </c>
      <c r="B101" s="7" t="str">
        <f>VLOOKUP(C101,'Organisation names'!$B$4:$D$130,3,FALSE)</f>
        <v>Northern</v>
      </c>
      <c r="C101" s="7" t="s">
        <v>102</v>
      </c>
      <c r="D101" s="7" t="str">
        <f>VLOOKUP(C101,'Organisation names'!$B$4:$D$130,2,FALSE)</f>
        <v>South Tees Hospitals NHS Foundation Trust</v>
      </c>
      <c r="E101" s="72">
        <v>120</v>
      </c>
      <c r="F101" s="72">
        <v>33</v>
      </c>
      <c r="G101" s="72">
        <v>10</v>
      </c>
      <c r="H101" s="21">
        <v>0.56666666269302368</v>
      </c>
      <c r="I101" s="27" t="s">
        <v>495</v>
      </c>
      <c r="J101" s="27" t="s">
        <v>588</v>
      </c>
      <c r="K101" s="21">
        <v>0.60606062412261963</v>
      </c>
      <c r="L101" s="21">
        <v>0.72727274894714355</v>
      </c>
      <c r="M101" s="21">
        <v>0.60000002384185791</v>
      </c>
      <c r="N101" s="21">
        <v>0.23404255509376529</v>
      </c>
      <c r="O101" s="21">
        <v>0.85365855693817139</v>
      </c>
      <c r="P101" s="21">
        <v>0.60833334922790527</v>
      </c>
      <c r="Q101" s="21">
        <v>0.55141532421112061</v>
      </c>
      <c r="R101" s="21">
        <v>0.19070082902908331</v>
      </c>
    </row>
    <row r="102" spans="1:18" s="7" customFormat="1" x14ac:dyDescent="0.45">
      <c r="A102" s="7" t="s">
        <v>394</v>
      </c>
      <c r="B102" s="7" t="str">
        <f>VLOOKUP(C102,'Organisation names'!$B$4:$D$130,3,FALSE)</f>
        <v>Lancashire and South Cumbria</v>
      </c>
      <c r="C102" s="7" t="s">
        <v>103</v>
      </c>
      <c r="D102" s="7" t="str">
        <f>VLOOKUP(C102,'Organisation names'!$B$4:$D$130,2,FALSE)</f>
        <v>University Hospitals Of Morecambe Bay NHS Foundation Trust</v>
      </c>
      <c r="E102" s="72">
        <v>100</v>
      </c>
      <c r="F102" s="72">
        <v>47</v>
      </c>
      <c r="G102" s="72">
        <v>12</v>
      </c>
      <c r="H102" s="21">
        <v>0.85000002384185791</v>
      </c>
      <c r="I102" s="27" t="s">
        <v>496</v>
      </c>
      <c r="J102" s="27" t="s">
        <v>589</v>
      </c>
      <c r="K102" s="21">
        <v>0.6808510422706604</v>
      </c>
      <c r="L102" s="21">
        <v>0.74468082189559937</v>
      </c>
      <c r="M102" s="21">
        <v>0.57894736528396606</v>
      </c>
      <c r="N102" s="21">
        <v>0.12962962687015531</v>
      </c>
      <c r="O102" s="21">
        <v>1</v>
      </c>
      <c r="P102" s="21">
        <v>0.41999998688697809</v>
      </c>
      <c r="Q102" s="21">
        <v>0.52423691749572754</v>
      </c>
      <c r="R102" s="21">
        <v>0.25375121831893921</v>
      </c>
    </row>
    <row r="103" spans="1:18" s="7" customFormat="1" x14ac:dyDescent="0.45">
      <c r="A103" s="7" t="s">
        <v>394</v>
      </c>
      <c r="B103" s="7" t="str">
        <f>VLOOKUP(C103,'Organisation names'!$B$4:$D$130,3,FALSE)</f>
        <v>Somerset, Wiltshire, Avon and Gloucestershire</v>
      </c>
      <c r="C103" s="7" t="s">
        <v>104</v>
      </c>
      <c r="D103" s="7" t="str">
        <f>VLOOKUP(C103,'Organisation names'!$B$4:$D$130,2,FALSE)</f>
        <v>North Bristol NHS Trust</v>
      </c>
      <c r="E103" s="72">
        <v>91</v>
      </c>
      <c r="F103" s="74" t="s">
        <v>135</v>
      </c>
      <c r="G103" s="74" t="s">
        <v>135</v>
      </c>
      <c r="H103" s="21">
        <v>0.51648354530334473</v>
      </c>
      <c r="I103" s="74" t="s">
        <v>135</v>
      </c>
      <c r="J103" s="74" t="s">
        <v>135</v>
      </c>
      <c r="K103" s="74" t="s">
        <v>135</v>
      </c>
      <c r="L103" s="74" t="s">
        <v>135</v>
      </c>
      <c r="M103" s="21">
        <v>0.35294118523597717</v>
      </c>
      <c r="N103" s="21">
        <v>0.190476194024086</v>
      </c>
      <c r="O103" s="21">
        <v>1</v>
      </c>
      <c r="P103" s="21">
        <v>0.5604395866394043</v>
      </c>
      <c r="Q103" s="21">
        <v>0.59158205986022949</v>
      </c>
      <c r="R103" s="21">
        <v>0.29141888022422791</v>
      </c>
    </row>
    <row r="104" spans="1:18" s="7" customFormat="1" x14ac:dyDescent="0.45">
      <c r="A104" s="7" t="s">
        <v>394</v>
      </c>
      <c r="B104" s="7" t="str">
        <f>VLOOKUP(C104,'Organisation names'!$B$4:$D$130,3,FALSE)</f>
        <v>RM Partners</v>
      </c>
      <c r="C104" s="7" t="s">
        <v>105</v>
      </c>
      <c r="D104" s="7" t="str">
        <f>VLOOKUP(C104,'Organisation names'!$B$4:$D$130,2,FALSE)</f>
        <v>Epsom and St Helier University Hospitals NHS Trust</v>
      </c>
      <c r="E104" s="72">
        <v>88</v>
      </c>
      <c r="F104" s="72">
        <v>35</v>
      </c>
      <c r="G104" s="72">
        <v>19</v>
      </c>
      <c r="H104" s="21">
        <v>0.65909093618392944</v>
      </c>
      <c r="I104" s="27" t="s">
        <v>497</v>
      </c>
      <c r="J104" s="27" t="s">
        <v>590</v>
      </c>
      <c r="K104" s="21">
        <v>0.62857145071029663</v>
      </c>
      <c r="L104" s="21">
        <v>0.74285715818405151</v>
      </c>
      <c r="M104" s="21">
        <v>0.64999997615814209</v>
      </c>
      <c r="N104" s="21">
        <v>0.55555558204650879</v>
      </c>
      <c r="O104" s="46" t="s">
        <v>135</v>
      </c>
      <c r="P104" s="21">
        <v>0.42045453190803528</v>
      </c>
      <c r="Q104" s="21">
        <v>0.56680929660797119</v>
      </c>
      <c r="R104" s="21">
        <v>0.20604126155376429</v>
      </c>
    </row>
    <row r="105" spans="1:18" s="7" customFormat="1" x14ac:dyDescent="0.45">
      <c r="A105" s="7" t="s">
        <v>394</v>
      </c>
      <c r="B105" s="7" t="str">
        <f>VLOOKUP(C105,'Organisation names'!$B$4:$D$130,3,FALSE)</f>
        <v>Kent and Medway</v>
      </c>
      <c r="C105" s="7" t="s">
        <v>106</v>
      </c>
      <c r="D105" s="7" t="str">
        <f>VLOOKUP(C105,'Organisation names'!$B$4:$D$130,2,FALSE)</f>
        <v>East Kent Hospitals University NHS Foundation Trust</v>
      </c>
      <c r="E105" s="72">
        <v>240</v>
      </c>
      <c r="F105" s="72">
        <v>58</v>
      </c>
      <c r="G105" s="72">
        <v>19</v>
      </c>
      <c r="H105" s="21">
        <v>0.52499997615814209</v>
      </c>
      <c r="I105" s="27" t="s">
        <v>498</v>
      </c>
      <c r="J105" s="27" t="s">
        <v>591</v>
      </c>
      <c r="K105" s="21">
        <v>0.56896549463272095</v>
      </c>
      <c r="L105" s="21">
        <v>0.65517240762710571</v>
      </c>
      <c r="M105" s="21">
        <v>0.53448277711868286</v>
      </c>
      <c r="N105" s="21">
        <v>0.18947368860244751</v>
      </c>
      <c r="O105" s="21">
        <v>0.87162160873413086</v>
      </c>
      <c r="P105" s="21">
        <v>0.53750002384185791</v>
      </c>
      <c r="Q105" s="21">
        <v>0.55193287134170532</v>
      </c>
      <c r="R105" s="21">
        <v>0.20899493992328641</v>
      </c>
    </row>
    <row r="106" spans="1:18" s="7" customFormat="1" x14ac:dyDescent="0.45">
      <c r="A106" s="7" t="s">
        <v>394</v>
      </c>
      <c r="B106" s="7" t="str">
        <f>VLOOKUP(C106,'Organisation names'!$B$4:$D$130,3,FALSE)</f>
        <v>Northern</v>
      </c>
      <c r="C106" s="7" t="s">
        <v>107</v>
      </c>
      <c r="D106" s="7" t="str">
        <f>VLOOKUP(C106,'Organisation names'!$B$4:$D$130,2,FALSE)</f>
        <v>North Tees and Hartlepool NHS Foundation Trust</v>
      </c>
      <c r="E106" s="72">
        <v>105</v>
      </c>
      <c r="F106" s="72">
        <v>35</v>
      </c>
      <c r="G106" s="72">
        <v>18</v>
      </c>
      <c r="H106" s="21">
        <v>0.92380952835083008</v>
      </c>
      <c r="I106" s="27" t="s">
        <v>499</v>
      </c>
      <c r="J106" s="27" t="s">
        <v>592</v>
      </c>
      <c r="K106" s="21">
        <v>0.28571429848670959</v>
      </c>
      <c r="L106" s="21">
        <v>0.51428574323654175</v>
      </c>
      <c r="M106" s="21">
        <v>0.60000002384185791</v>
      </c>
      <c r="N106" s="21">
        <v>0.27868852019309998</v>
      </c>
      <c r="O106" s="21">
        <v>0.83146065473556519</v>
      </c>
      <c r="P106" s="21">
        <v>0.66666668653488159</v>
      </c>
      <c r="Q106" s="21">
        <v>0.53579330444335938</v>
      </c>
      <c r="R106" s="21">
        <v>0.17866432666778559</v>
      </c>
    </row>
    <row r="107" spans="1:18" s="7" customFormat="1" x14ac:dyDescent="0.45">
      <c r="A107" s="7" t="s">
        <v>394</v>
      </c>
      <c r="B107" s="7" t="str">
        <f>VLOOKUP(C107,'Organisation names'!$B$4:$D$130,3,FALSE)</f>
        <v>Humber and North Yorkshire</v>
      </c>
      <c r="C107" s="7" t="s">
        <v>108</v>
      </c>
      <c r="D107" s="7" t="str">
        <f>VLOOKUP(C107,'Organisation names'!$B$4:$D$130,2,FALSE)</f>
        <v>Hull University Teaching Hospitals NHS Trust</v>
      </c>
      <c r="E107" s="72">
        <v>221</v>
      </c>
      <c r="F107" s="72">
        <v>78</v>
      </c>
      <c r="G107" s="72">
        <v>41</v>
      </c>
      <c r="H107" s="21">
        <v>0.84162896871566772</v>
      </c>
      <c r="I107" s="27" t="s">
        <v>500</v>
      </c>
      <c r="J107" s="27" t="s">
        <v>593</v>
      </c>
      <c r="K107" s="21">
        <v>0.55128204822540283</v>
      </c>
      <c r="L107" s="21">
        <v>0.70512819290161133</v>
      </c>
      <c r="M107" s="21">
        <v>0.7818182110786438</v>
      </c>
      <c r="N107" s="21">
        <v>0.33018869161605829</v>
      </c>
      <c r="O107" s="21">
        <v>0.94409936666488647</v>
      </c>
      <c r="P107" s="21">
        <v>0.54298645257949829</v>
      </c>
      <c r="Q107" s="21">
        <v>0.48968347907066351</v>
      </c>
      <c r="R107" s="21">
        <v>0.21481625735759741</v>
      </c>
    </row>
    <row r="108" spans="1:18" s="7" customFormat="1" x14ac:dyDescent="0.45">
      <c r="A108" s="7" t="s">
        <v>394</v>
      </c>
      <c r="B108" s="7" t="str">
        <f>VLOOKUP(C108,'Organisation names'!$B$4:$D$130,3,FALSE)</f>
        <v>East Midlands</v>
      </c>
      <c r="C108" s="7" t="s">
        <v>109</v>
      </c>
      <c r="D108" s="7" t="str">
        <f>VLOOKUP(C108,'Organisation names'!$B$4:$D$130,2,FALSE)</f>
        <v>United Lincolnshire Teaching Hospitals NHS Trust</v>
      </c>
      <c r="E108" s="72">
        <v>173</v>
      </c>
      <c r="F108" s="72">
        <v>47</v>
      </c>
      <c r="G108" s="72">
        <v>10</v>
      </c>
      <c r="H108" s="21">
        <v>0.80924856662750244</v>
      </c>
      <c r="I108" s="27" t="s">
        <v>501</v>
      </c>
      <c r="J108" s="27" t="s">
        <v>594</v>
      </c>
      <c r="K108" s="21">
        <v>0.36170211434364319</v>
      </c>
      <c r="L108" s="21">
        <v>0.51063829660415649</v>
      </c>
      <c r="M108" s="21">
        <v>0.15000000596046451</v>
      </c>
      <c r="N108" s="21">
        <v>0.15238095819950101</v>
      </c>
      <c r="O108" s="46" t="s">
        <v>135</v>
      </c>
      <c r="P108" s="21">
        <v>0.28901734948158259</v>
      </c>
      <c r="Q108" s="21">
        <v>0.48270553350448608</v>
      </c>
      <c r="R108" s="21">
        <v>0.2112651914358139</v>
      </c>
    </row>
    <row r="109" spans="1:18" s="7" customFormat="1" x14ac:dyDescent="0.45">
      <c r="A109" s="7" t="s">
        <v>394</v>
      </c>
      <c r="B109" s="7" t="str">
        <f>VLOOKUP(C109,'Organisation names'!$B$4:$D$130,3,FALSE)</f>
        <v>East Midlands</v>
      </c>
      <c r="C109" s="7" t="s">
        <v>110</v>
      </c>
      <c r="D109" s="7" t="str">
        <f>VLOOKUP(C109,'Organisation names'!$B$4:$D$130,2,FALSE)</f>
        <v>University Hospitals Of Leicester NHS Trust</v>
      </c>
      <c r="E109" s="72">
        <v>293</v>
      </c>
      <c r="F109" s="72">
        <v>49</v>
      </c>
      <c r="G109" s="72">
        <v>23</v>
      </c>
      <c r="H109" s="21">
        <v>0.50170648097991943</v>
      </c>
      <c r="I109" s="27" t="s">
        <v>502</v>
      </c>
      <c r="J109" s="27" t="s">
        <v>595</v>
      </c>
      <c r="K109" s="21">
        <v>0.51020407676696777</v>
      </c>
      <c r="L109" s="21">
        <v>0.61224490404129028</v>
      </c>
      <c r="M109" s="21">
        <v>0.80769228935241699</v>
      </c>
      <c r="N109" s="21">
        <v>0.24778760969638819</v>
      </c>
      <c r="O109" s="21">
        <v>0.85000002384185791</v>
      </c>
      <c r="P109" s="21">
        <v>0.5699658989906311</v>
      </c>
      <c r="Q109" s="21">
        <v>0.55646044015884399</v>
      </c>
      <c r="R109" s="21">
        <v>0.22439201176166529</v>
      </c>
    </row>
    <row r="110" spans="1:18" s="7" customFormat="1" x14ac:dyDescent="0.45">
      <c r="A110" s="7" t="s">
        <v>394</v>
      </c>
      <c r="B110" s="7" t="str">
        <f>VLOOKUP(C110,'Organisation names'!$B$4:$D$130,3,FALSE)</f>
        <v>Kent and Medway</v>
      </c>
      <c r="C110" s="7" t="s">
        <v>111</v>
      </c>
      <c r="D110" s="7" t="str">
        <f>VLOOKUP(C110,'Organisation names'!$B$4:$D$130,2,FALSE)</f>
        <v>Maidstone and Tunbridge Wells NHS Trust</v>
      </c>
      <c r="E110" s="72">
        <v>155</v>
      </c>
      <c r="F110" s="72">
        <v>56</v>
      </c>
      <c r="G110" s="72">
        <v>26</v>
      </c>
      <c r="H110" s="21">
        <v>0.73548388481140137</v>
      </c>
      <c r="I110" s="27" t="s">
        <v>503</v>
      </c>
      <c r="J110" s="27" t="s">
        <v>596</v>
      </c>
      <c r="K110" s="21">
        <v>0.55357140302658081</v>
      </c>
      <c r="L110" s="21">
        <v>0.625</v>
      </c>
      <c r="M110" s="21">
        <v>0.62790697813034058</v>
      </c>
      <c r="N110" s="21">
        <v>0.32467532157897949</v>
      </c>
      <c r="O110" s="21">
        <v>0.84848487377166748</v>
      </c>
      <c r="P110" s="21">
        <v>0.5419355034828186</v>
      </c>
      <c r="Q110" s="21">
        <v>0.54778516292572021</v>
      </c>
      <c r="R110" s="21">
        <v>0.26410704851150513</v>
      </c>
    </row>
    <row r="111" spans="1:18" s="7" customFormat="1" x14ac:dyDescent="0.45">
      <c r="A111" s="7" t="s">
        <v>394</v>
      </c>
      <c r="B111" s="7" t="str">
        <f>VLOOKUP(C111,'Organisation names'!$B$4:$D$130,3,FALSE)</f>
        <v>East of England</v>
      </c>
      <c r="C111" s="7" t="s">
        <v>112</v>
      </c>
      <c r="D111" s="7" t="str">
        <f>VLOOKUP(C111,'Organisation names'!$B$4:$D$130,2,FALSE)</f>
        <v>West Hertfordshire Teaching Hospitals NHS Trust</v>
      </c>
      <c r="E111" s="72">
        <v>137</v>
      </c>
      <c r="F111" s="72">
        <v>32</v>
      </c>
      <c r="G111" s="72">
        <v>10</v>
      </c>
      <c r="H111" s="21">
        <v>0.88321167230606079</v>
      </c>
      <c r="I111" s="27" t="s">
        <v>504</v>
      </c>
      <c r="J111" s="27" t="s">
        <v>597</v>
      </c>
      <c r="K111" s="21">
        <v>0.5</v>
      </c>
      <c r="L111" s="21">
        <v>0.6875</v>
      </c>
      <c r="M111" s="21">
        <v>0.2142857164144516</v>
      </c>
      <c r="N111" s="21">
        <v>0.1190476194024086</v>
      </c>
      <c r="O111" s="21">
        <v>0.82727271318435669</v>
      </c>
      <c r="P111" s="21">
        <v>0.40145984292030329</v>
      </c>
      <c r="Q111" s="21">
        <v>0.62809848785400391</v>
      </c>
      <c r="R111" s="21">
        <v>0.26242443919181818</v>
      </c>
    </row>
    <row r="112" spans="1:18" s="7" customFormat="1" x14ac:dyDescent="0.45">
      <c r="A112" s="7" t="s">
        <v>394</v>
      </c>
      <c r="B112" s="7" t="str">
        <f>VLOOKUP(C112,'Organisation names'!$B$4:$D$130,3,FALSE)</f>
        <v>East of England</v>
      </c>
      <c r="C112" s="7" t="s">
        <v>113</v>
      </c>
      <c r="D112" s="7" t="str">
        <f>VLOOKUP(C112,'Organisation names'!$B$4:$D$130,2,FALSE)</f>
        <v>East and North Hertfordshire NHS Trust</v>
      </c>
      <c r="E112" s="72">
        <v>102</v>
      </c>
      <c r="F112" s="72">
        <v>28</v>
      </c>
      <c r="G112" s="74" t="s">
        <v>135</v>
      </c>
      <c r="H112" s="21">
        <v>0.44117647409439092</v>
      </c>
      <c r="I112" s="27" t="s">
        <v>505</v>
      </c>
      <c r="J112" s="74" t="s">
        <v>135</v>
      </c>
      <c r="K112" s="21">
        <v>0.71428573131561279</v>
      </c>
      <c r="L112" s="21">
        <v>0.78571426868438721</v>
      </c>
      <c r="M112" s="46" t="s">
        <v>135</v>
      </c>
      <c r="N112" s="21">
        <v>0.2380952388048172</v>
      </c>
      <c r="O112" s="21">
        <v>0.76470589637756348</v>
      </c>
      <c r="P112" s="21">
        <v>0.17647059261798859</v>
      </c>
      <c r="Q112" s="21">
        <v>0.49938115477561951</v>
      </c>
      <c r="R112" s="21">
        <v>0.13448603451251981</v>
      </c>
    </row>
    <row r="113" spans="1:18" s="7" customFormat="1" x14ac:dyDescent="0.45">
      <c r="A113" s="7" t="s">
        <v>394</v>
      </c>
      <c r="B113" s="7" t="str">
        <f>VLOOKUP(C113,'Organisation names'!$B$4:$D$130,3,FALSE)</f>
        <v>Greater Manchester</v>
      </c>
      <c r="C113" s="7" t="s">
        <v>114</v>
      </c>
      <c r="D113" s="7" t="str">
        <f>VLOOKUP(C113,'Organisation names'!$B$4:$D$130,2,FALSE)</f>
        <v>Stockport NHS Foundation Trust</v>
      </c>
      <c r="E113" s="72">
        <v>82</v>
      </c>
      <c r="F113" s="72">
        <v>28</v>
      </c>
      <c r="G113" s="72">
        <v>12</v>
      </c>
      <c r="H113" s="21">
        <v>0.93902438879013062</v>
      </c>
      <c r="I113" s="27" t="s">
        <v>506</v>
      </c>
      <c r="J113" s="27" t="s">
        <v>598</v>
      </c>
      <c r="K113" s="21">
        <v>0.57142859697341919</v>
      </c>
      <c r="L113" s="21">
        <v>0.6071428656578064</v>
      </c>
      <c r="M113" s="21">
        <v>0.6086956262588501</v>
      </c>
      <c r="N113" s="21">
        <v>0.24444444477558139</v>
      </c>
      <c r="O113" s="21">
        <v>0.90909093618392944</v>
      </c>
      <c r="P113" s="21">
        <v>0.59756100177764893</v>
      </c>
      <c r="Q113" s="21">
        <v>0.58346766233444214</v>
      </c>
      <c r="R113" s="21">
        <v>0.19998884201049799</v>
      </c>
    </row>
    <row r="114" spans="1:18" s="7" customFormat="1" x14ac:dyDescent="0.45">
      <c r="A114" s="7" t="s">
        <v>394</v>
      </c>
      <c r="B114" s="7" t="str">
        <f>VLOOKUP(C114,'Organisation names'!$B$4:$D$130,3,FALSE)</f>
        <v>West Midlands</v>
      </c>
      <c r="C114" s="7" t="s">
        <v>115</v>
      </c>
      <c r="D114" s="7" t="str">
        <f>VLOOKUP(C114,'Organisation names'!$B$4:$D$130,2,FALSE)</f>
        <v>Worcestershire Acute Hospitals NHS Trust</v>
      </c>
      <c r="E114" s="72">
        <v>210</v>
      </c>
      <c r="F114" s="72">
        <v>78</v>
      </c>
      <c r="G114" s="72">
        <v>34</v>
      </c>
      <c r="H114" s="21">
        <v>0.89047616720199585</v>
      </c>
      <c r="I114" s="27" t="s">
        <v>507</v>
      </c>
      <c r="J114" s="27" t="s">
        <v>599</v>
      </c>
      <c r="K114" s="21">
        <v>0.62820512056350708</v>
      </c>
      <c r="L114" s="21">
        <v>0.76923078298568726</v>
      </c>
      <c r="M114" s="21">
        <v>0.5</v>
      </c>
      <c r="N114" s="21">
        <v>0.31818181276321411</v>
      </c>
      <c r="O114" s="21">
        <v>0.8730158805847168</v>
      </c>
      <c r="P114" s="21">
        <v>0.41428571939468378</v>
      </c>
      <c r="Q114" s="21">
        <v>0.45835363864898682</v>
      </c>
      <c r="R114" s="21">
        <v>0.21559356153011319</v>
      </c>
    </row>
    <row r="115" spans="1:18" s="7" customFormat="1" x14ac:dyDescent="0.45">
      <c r="A115" s="7" t="s">
        <v>394</v>
      </c>
      <c r="B115" s="7" t="str">
        <f>VLOOKUP(C115,'Organisation names'!$B$4:$D$130,3,FALSE)</f>
        <v>Cheshire and Merseyside</v>
      </c>
      <c r="C115" s="7" t="s">
        <v>116</v>
      </c>
      <c r="D115" s="7" t="str">
        <f>VLOOKUP(C115,'Organisation names'!$B$4:$D$130,2,FALSE)</f>
        <v>Warrington and Halton Teaching Hospitals NHS Foundation Trust</v>
      </c>
      <c r="E115" s="72">
        <v>59</v>
      </c>
      <c r="F115" s="72">
        <v>20</v>
      </c>
      <c r="G115" s="74" t="s">
        <v>135</v>
      </c>
      <c r="H115" s="21">
        <v>0.8474576473236084</v>
      </c>
      <c r="I115" s="27" t="s">
        <v>508</v>
      </c>
      <c r="J115" s="74" t="s">
        <v>135</v>
      </c>
      <c r="K115" s="21">
        <v>0.60000002384185791</v>
      </c>
      <c r="L115" s="21">
        <v>0.69999998807907104</v>
      </c>
      <c r="M115" s="21">
        <v>0.66666668653488159</v>
      </c>
      <c r="N115" s="21">
        <v>0.19354838132858279</v>
      </c>
      <c r="O115" s="21">
        <v>0.75999999046325684</v>
      </c>
      <c r="P115" s="21">
        <v>0.52542370557785034</v>
      </c>
      <c r="Q115" s="21">
        <v>0.40027058124542242</v>
      </c>
      <c r="R115" s="21">
        <v>0.1568165868520737</v>
      </c>
    </row>
    <row r="116" spans="1:18" s="7" customFormat="1" x14ac:dyDescent="0.45">
      <c r="A116" s="7" t="s">
        <v>394</v>
      </c>
      <c r="B116" s="7" t="str">
        <f>VLOOKUP(C116,'Organisation names'!$B$4:$D$130,3,FALSE)</f>
        <v>West Yorkshire and Harrogate</v>
      </c>
      <c r="C116" s="7" t="s">
        <v>117</v>
      </c>
      <c r="D116" s="7" t="str">
        <f>VLOOKUP(C116,'Organisation names'!$B$4:$D$130,2,FALSE)</f>
        <v>Calderdale and Huddersfield NHS Foundation Trust</v>
      </c>
      <c r="E116" s="72">
        <v>132</v>
      </c>
      <c r="F116" s="72">
        <v>48</v>
      </c>
      <c r="G116" s="72">
        <v>17</v>
      </c>
      <c r="H116" s="21">
        <v>0.84848487377166748</v>
      </c>
      <c r="I116" s="27" t="s">
        <v>509</v>
      </c>
      <c r="J116" s="27" t="s">
        <v>600</v>
      </c>
      <c r="K116" s="21">
        <v>0.4791666567325592</v>
      </c>
      <c r="L116" s="21">
        <v>0.60416668653488159</v>
      </c>
      <c r="M116" s="21">
        <v>0.47368422150611877</v>
      </c>
      <c r="N116" s="21">
        <v>0.18461538851261139</v>
      </c>
      <c r="O116" s="21">
        <v>0.88990825414657593</v>
      </c>
      <c r="P116" s="21">
        <v>0.64393937587738037</v>
      </c>
      <c r="Q116" s="21">
        <v>0.49712425470352167</v>
      </c>
      <c r="R116" s="21">
        <v>0.31042009592056269</v>
      </c>
    </row>
    <row r="117" spans="1:18" s="7" customFormat="1" x14ac:dyDescent="0.45">
      <c r="A117" s="7" t="s">
        <v>394</v>
      </c>
      <c r="B117" s="7" t="str">
        <f>VLOOKUP(C117,'Organisation names'!$B$4:$D$130,3,FALSE)</f>
        <v>East Midlands</v>
      </c>
      <c r="C117" s="7" t="s">
        <v>118</v>
      </c>
      <c r="D117" s="7" t="str">
        <f>VLOOKUP(C117,'Organisation names'!$B$4:$D$130,2,FALSE)</f>
        <v>Nottingham University Hospitals NHS Trust</v>
      </c>
      <c r="E117" s="72">
        <v>357</v>
      </c>
      <c r="F117" s="72">
        <v>97</v>
      </c>
      <c r="G117" s="72">
        <v>64</v>
      </c>
      <c r="H117" s="21">
        <v>0.66666668653488159</v>
      </c>
      <c r="I117" s="27" t="s">
        <v>510</v>
      </c>
      <c r="J117" s="27" t="s">
        <v>601</v>
      </c>
      <c r="K117" s="21">
        <v>0.32989689707756042</v>
      </c>
      <c r="L117" s="21">
        <v>0.51546388864517212</v>
      </c>
      <c r="M117" s="21">
        <v>0.77333331108093262</v>
      </c>
      <c r="N117" s="21">
        <v>0.4711538553237915</v>
      </c>
      <c r="O117" s="21">
        <v>0.91411042213439941</v>
      </c>
      <c r="P117" s="21">
        <v>0.63585436344146729</v>
      </c>
      <c r="Q117" s="21">
        <v>0.51408094167709351</v>
      </c>
      <c r="R117" s="21">
        <v>0.20679421722888949</v>
      </c>
    </row>
    <row r="118" spans="1:18" s="7" customFormat="1" x14ac:dyDescent="0.45">
      <c r="A118" s="7" t="s">
        <v>394</v>
      </c>
      <c r="B118" s="7" t="str">
        <f>VLOOKUP(C118,'Organisation names'!$B$4:$D$130,3,FALSE)</f>
        <v>Surrey and Sussex</v>
      </c>
      <c r="C118" s="7" t="s">
        <v>119</v>
      </c>
      <c r="D118" s="7" t="str">
        <f>VLOOKUP(C118,'Organisation names'!$B$4:$D$130,2,FALSE)</f>
        <v>East Sussex Healthcare NHS Trust</v>
      </c>
      <c r="E118" s="72">
        <v>185</v>
      </c>
      <c r="F118" s="72">
        <v>63</v>
      </c>
      <c r="G118" s="72">
        <v>17</v>
      </c>
      <c r="H118" s="21">
        <v>0.60540539026260376</v>
      </c>
      <c r="I118" s="27" t="s">
        <v>511</v>
      </c>
      <c r="J118" s="27" t="s">
        <v>602</v>
      </c>
      <c r="K118" s="21">
        <v>0.63492065668106079</v>
      </c>
      <c r="L118" s="21">
        <v>0.77777779102325439</v>
      </c>
      <c r="M118" s="21">
        <v>0.5</v>
      </c>
      <c r="N118" s="21">
        <v>0.26153847575187678</v>
      </c>
      <c r="O118" s="21">
        <v>0.97619044780731201</v>
      </c>
      <c r="P118" s="21">
        <v>0.65945947170257568</v>
      </c>
      <c r="Q118" s="21">
        <v>0.5394216775894165</v>
      </c>
      <c r="R118" s="21">
        <v>0.28838455677032471</v>
      </c>
    </row>
    <row r="119" spans="1:18" s="7" customFormat="1" x14ac:dyDescent="0.45">
      <c r="A119" s="7" t="s">
        <v>394</v>
      </c>
      <c r="B119" s="7" t="str">
        <f>VLOOKUP(C119,'Organisation names'!$B$4:$D$130,3,FALSE)</f>
        <v>West Yorkshire and Harrogate</v>
      </c>
      <c r="C119" s="7" t="s">
        <v>120</v>
      </c>
      <c r="D119" s="7" t="str">
        <f>VLOOKUP(C119,'Organisation names'!$B$4:$D$130,2,FALSE)</f>
        <v>Mid Yorkshire Teaching NHS Trust</v>
      </c>
      <c r="E119" s="72">
        <v>164</v>
      </c>
      <c r="F119" s="72">
        <v>48</v>
      </c>
      <c r="G119" s="72">
        <v>23</v>
      </c>
      <c r="H119" s="21">
        <v>0.83536583185195923</v>
      </c>
      <c r="I119" s="27" t="s">
        <v>512</v>
      </c>
      <c r="J119" s="27" t="s">
        <v>603</v>
      </c>
      <c r="K119" s="21">
        <v>0.4166666567325592</v>
      </c>
      <c r="L119" s="21">
        <v>0.54166668653488159</v>
      </c>
      <c r="M119" s="21">
        <v>0.60526317358016968</v>
      </c>
      <c r="N119" s="21">
        <v>0.34375</v>
      </c>
      <c r="O119" s="21">
        <v>9.8591551184654236E-2</v>
      </c>
      <c r="P119" s="21">
        <v>0.56097561120986938</v>
      </c>
      <c r="Q119" s="21">
        <v>0.56865137815475464</v>
      </c>
      <c r="R119" s="21">
        <v>0.23153091967105871</v>
      </c>
    </row>
    <row r="120" spans="1:18" s="7" customFormat="1" x14ac:dyDescent="0.45">
      <c r="A120" s="7" t="s">
        <v>394</v>
      </c>
      <c r="B120" s="7" t="str">
        <f>VLOOKUP(C120,'Organisation names'!$B$4:$D$130,3,FALSE)</f>
        <v>West Midlands</v>
      </c>
      <c r="C120" s="7" t="s">
        <v>121</v>
      </c>
      <c r="D120" s="7" t="str">
        <f>VLOOKUP(C120,'Organisation names'!$B$4:$D$130,2,FALSE)</f>
        <v>Sandwell and West Birmingham Hospitals NHS Trust</v>
      </c>
      <c r="E120" s="72">
        <v>103</v>
      </c>
      <c r="F120" s="72">
        <v>16</v>
      </c>
      <c r="G120" s="74" t="s">
        <v>135</v>
      </c>
      <c r="H120" s="21">
        <v>0.93203884363174438</v>
      </c>
      <c r="I120" s="27" t="s">
        <v>513</v>
      </c>
      <c r="J120" s="74" t="s">
        <v>135</v>
      </c>
      <c r="K120" s="21">
        <v>0.75</v>
      </c>
      <c r="L120" s="21">
        <v>0.875</v>
      </c>
      <c r="M120" s="21">
        <v>0.38461539149284357</v>
      </c>
      <c r="N120" s="21">
        <v>0.125</v>
      </c>
      <c r="O120" s="21">
        <v>0.95348834991455078</v>
      </c>
      <c r="P120" s="21">
        <v>0.55339807271957397</v>
      </c>
      <c r="Q120" s="21">
        <v>0.49534258246421808</v>
      </c>
      <c r="R120" s="21">
        <v>0.2432556748390198</v>
      </c>
    </row>
    <row r="121" spans="1:18" s="7" customFormat="1" x14ac:dyDescent="0.45">
      <c r="A121" s="7" t="s">
        <v>394</v>
      </c>
      <c r="B121" s="7" t="str">
        <f>VLOOKUP(C121,'Organisation names'!$B$4:$D$130,3,FALSE)</f>
        <v>Lancashire and South Cumbria</v>
      </c>
      <c r="C121" s="7" t="s">
        <v>122</v>
      </c>
      <c r="D121" s="7" t="str">
        <f>VLOOKUP(C121,'Organisation names'!$B$4:$D$130,2,FALSE)</f>
        <v>Blackpool Teaching Hospitals NHS Foundation Trust</v>
      </c>
      <c r="E121" s="72">
        <v>89</v>
      </c>
      <c r="F121" s="72">
        <v>27</v>
      </c>
      <c r="G121" s="72">
        <v>11</v>
      </c>
      <c r="H121" s="21">
        <v>0.84269660711288452</v>
      </c>
      <c r="I121" s="27" t="s">
        <v>514</v>
      </c>
      <c r="J121" s="27" t="s">
        <v>604</v>
      </c>
      <c r="K121" s="21">
        <v>0.55555558204650879</v>
      </c>
      <c r="L121" s="21">
        <v>0.62962961196899414</v>
      </c>
      <c r="M121" s="21">
        <v>0.40000000596046448</v>
      </c>
      <c r="N121" s="21">
        <v>0.24137930572032931</v>
      </c>
      <c r="O121" s="21">
        <v>0.77941179275512695</v>
      </c>
      <c r="P121" s="21">
        <v>0.43820226192474371</v>
      </c>
      <c r="Q121" s="21">
        <v>0.44206503033638</v>
      </c>
      <c r="R121" s="21">
        <v>0.1980591416358948</v>
      </c>
    </row>
    <row r="122" spans="1:18" s="7" customFormat="1" x14ac:dyDescent="0.45">
      <c r="A122" s="7" t="s">
        <v>394</v>
      </c>
      <c r="B122" s="7" t="str">
        <f>VLOOKUP(C122,'Organisation names'!$B$4:$D$130,3,FALSE)</f>
        <v>Lancashire and South Cumbria</v>
      </c>
      <c r="C122" s="7" t="s">
        <v>123</v>
      </c>
      <c r="D122" s="7" t="str">
        <f>VLOOKUP(C122,'Organisation names'!$B$4:$D$130,2,FALSE)</f>
        <v>Lancashire Teaching Hospitals NHS Foundation Trust</v>
      </c>
      <c r="E122" s="72">
        <v>95</v>
      </c>
      <c r="F122" s="72">
        <v>30</v>
      </c>
      <c r="G122" s="72">
        <v>12</v>
      </c>
      <c r="H122" s="21">
        <v>0.9263157844543457</v>
      </c>
      <c r="I122" s="27" t="s">
        <v>515</v>
      </c>
      <c r="J122" s="27" t="s">
        <v>605</v>
      </c>
      <c r="K122" s="21">
        <v>0.43333333730697632</v>
      </c>
      <c r="L122" s="21">
        <v>0.56666666269302368</v>
      </c>
      <c r="M122" s="21">
        <v>0.40909090638160711</v>
      </c>
      <c r="N122" s="21">
        <v>0.1929824501276016</v>
      </c>
      <c r="O122" s="21">
        <v>0.82857143878936768</v>
      </c>
      <c r="P122" s="21">
        <v>0.54736840724945068</v>
      </c>
      <c r="Q122" s="21">
        <v>0.57768315076828003</v>
      </c>
      <c r="R122" s="21">
        <v>0.1694759130477905</v>
      </c>
    </row>
    <row r="123" spans="1:18" s="7" customFormat="1" x14ac:dyDescent="0.45">
      <c r="A123" s="7" t="s">
        <v>394</v>
      </c>
      <c r="B123" s="7" t="str">
        <f>VLOOKUP(C123,'Organisation names'!$B$4:$D$130,3,FALSE)</f>
        <v>Northern</v>
      </c>
      <c r="C123" s="7" t="s">
        <v>124</v>
      </c>
      <c r="D123" s="7" t="str">
        <f>VLOOKUP(C123,'Organisation names'!$B$4:$D$130,2,FALSE)</f>
        <v>County Durham and Darlington NHS Foundation Trust</v>
      </c>
      <c r="E123" s="72">
        <v>163</v>
      </c>
      <c r="F123" s="72">
        <v>33</v>
      </c>
      <c r="G123" s="72">
        <v>10</v>
      </c>
      <c r="H123" s="21">
        <v>0.89570552110671997</v>
      </c>
      <c r="I123" s="27" t="s">
        <v>516</v>
      </c>
      <c r="J123" s="27" t="s">
        <v>606</v>
      </c>
      <c r="K123" s="21">
        <v>0.63636362552642822</v>
      </c>
      <c r="L123" s="21">
        <v>0.63636362552642822</v>
      </c>
      <c r="M123" s="21">
        <v>0.52631580829620361</v>
      </c>
      <c r="N123" s="21">
        <v>0.13750000298023221</v>
      </c>
      <c r="O123" s="21">
        <v>0.52554744482040405</v>
      </c>
      <c r="P123" s="21">
        <v>0.39877301454544067</v>
      </c>
      <c r="Q123" s="21">
        <v>0.44119331240653992</v>
      </c>
      <c r="R123" s="21">
        <v>0.20496176183223719</v>
      </c>
    </row>
    <row r="124" spans="1:18" s="7" customFormat="1" x14ac:dyDescent="0.45">
      <c r="A124" s="7" t="s">
        <v>394</v>
      </c>
      <c r="B124" s="7" t="str">
        <f>VLOOKUP(C124,'Organisation names'!$B$4:$D$130,3,FALSE)</f>
        <v>Thames Valley</v>
      </c>
      <c r="C124" s="7" t="s">
        <v>125</v>
      </c>
      <c r="D124" s="7" t="str">
        <f>VLOOKUP(C124,'Organisation names'!$B$4:$D$130,2,FALSE)</f>
        <v>Buckinghamshire Healthcare NHS Trust</v>
      </c>
      <c r="E124" s="72">
        <v>97</v>
      </c>
      <c r="F124" s="72">
        <v>20</v>
      </c>
      <c r="G124" s="74" t="s">
        <v>135</v>
      </c>
      <c r="H124" s="21">
        <v>0.48453608155250549</v>
      </c>
      <c r="I124" s="27" t="s">
        <v>517</v>
      </c>
      <c r="J124" s="74" t="s">
        <v>135</v>
      </c>
      <c r="K124" s="21">
        <v>0.60000002384185791</v>
      </c>
      <c r="L124" s="21">
        <v>0.69999998807907104</v>
      </c>
      <c r="M124" s="21">
        <v>0.5</v>
      </c>
      <c r="N124" s="21">
        <v>0.20512820780277249</v>
      </c>
      <c r="O124" s="21">
        <v>0.98529410362243652</v>
      </c>
      <c r="P124" s="21">
        <v>0.51546388864517212</v>
      </c>
      <c r="Q124" s="21">
        <v>0.48113733530044561</v>
      </c>
      <c r="R124" s="21">
        <v>0.29439923167228699</v>
      </c>
    </row>
    <row r="125" spans="1:18" s="7" customFormat="1" x14ac:dyDescent="0.45">
      <c r="A125" s="7" t="s">
        <v>394</v>
      </c>
      <c r="B125" s="7" t="str">
        <f>VLOOKUP(C125,'Organisation names'!$B$4:$D$130,3,FALSE)</f>
        <v>Lancashire and South Cumbria</v>
      </c>
      <c r="C125" s="7" t="s">
        <v>126</v>
      </c>
      <c r="D125" s="7" t="str">
        <f>VLOOKUP(C125,'Organisation names'!$B$4:$D$130,2,FALSE)</f>
        <v>East Lancashire Hospitals NHS Trust</v>
      </c>
      <c r="E125" s="72">
        <v>178</v>
      </c>
      <c r="F125" s="72">
        <v>64</v>
      </c>
      <c r="G125" s="72">
        <v>32</v>
      </c>
      <c r="H125" s="21">
        <v>0.89887642860412598</v>
      </c>
      <c r="I125" s="27" t="s">
        <v>518</v>
      </c>
      <c r="J125" s="27" t="s">
        <v>607</v>
      </c>
      <c r="K125" s="21">
        <v>0.484375</v>
      </c>
      <c r="L125" s="21">
        <v>0.546875</v>
      </c>
      <c r="M125" s="21">
        <v>0.73134326934814453</v>
      </c>
      <c r="N125" s="21">
        <v>0.24358974397182459</v>
      </c>
      <c r="O125" s="21">
        <v>0.84827584028244019</v>
      </c>
      <c r="P125" s="21">
        <v>0.60674154758453369</v>
      </c>
      <c r="Q125" s="21">
        <v>0.50879538059234619</v>
      </c>
      <c r="R125" s="21">
        <v>0.2086957395076752</v>
      </c>
    </row>
    <row r="126" spans="1:18" s="7" customFormat="1" x14ac:dyDescent="0.45">
      <c r="A126" s="7" t="s">
        <v>394</v>
      </c>
      <c r="B126" s="7" t="str">
        <f>VLOOKUP(C126,'Organisation names'!$B$4:$D$130,3,FALSE)</f>
        <v>West Midlands</v>
      </c>
      <c r="C126" s="7" t="s">
        <v>127</v>
      </c>
      <c r="D126" s="7" t="str">
        <f>VLOOKUP(C126,'Organisation names'!$B$4:$D$130,2,FALSE)</f>
        <v>The Shrewsbury and Telford Hospital NHS Trust</v>
      </c>
      <c r="E126" s="72">
        <v>119</v>
      </c>
      <c r="F126" s="72">
        <v>43</v>
      </c>
      <c r="G126" s="72">
        <v>17</v>
      </c>
      <c r="H126" s="21">
        <v>0.86554622650146484</v>
      </c>
      <c r="I126" s="27" t="s">
        <v>519</v>
      </c>
      <c r="J126" s="27" t="s">
        <v>608</v>
      </c>
      <c r="K126" s="21">
        <v>0.5116279125213623</v>
      </c>
      <c r="L126" s="21">
        <v>0.58139532804489136</v>
      </c>
      <c r="M126" s="21">
        <v>0.32432430982589722</v>
      </c>
      <c r="N126" s="21">
        <v>0.2222222238779068</v>
      </c>
      <c r="O126" s="21">
        <v>0.73529410362243652</v>
      </c>
      <c r="P126" s="21">
        <v>0.5378151535987854</v>
      </c>
      <c r="Q126" s="21">
        <v>0.54939854145050049</v>
      </c>
      <c r="R126" s="21">
        <v>0.2175719141960144</v>
      </c>
    </row>
    <row r="127" spans="1:18" s="7" customFormat="1" x14ac:dyDescent="0.45">
      <c r="A127" s="7" t="s">
        <v>394</v>
      </c>
      <c r="B127" s="7" t="str">
        <f>VLOOKUP(C127,'Organisation names'!$B$4:$D$130,3,FALSE)</f>
        <v>RM Partners</v>
      </c>
      <c r="C127" s="7" t="s">
        <v>128</v>
      </c>
      <c r="D127" s="7" t="str">
        <f>VLOOKUP(C127,'Organisation names'!$B$4:$D$130,2,FALSE)</f>
        <v>Imperial College Healthcare NHS Trust</v>
      </c>
      <c r="E127" s="72">
        <v>203</v>
      </c>
      <c r="F127" s="72">
        <v>51</v>
      </c>
      <c r="G127" s="72">
        <v>32</v>
      </c>
      <c r="H127" s="21">
        <v>0.77832514047622681</v>
      </c>
      <c r="I127" s="27" t="s">
        <v>520</v>
      </c>
      <c r="J127" s="27" t="s">
        <v>609</v>
      </c>
      <c r="K127" s="21">
        <v>0.35294118523597717</v>
      </c>
      <c r="L127" s="21">
        <v>0.45098039507865911</v>
      </c>
      <c r="M127" s="21">
        <v>0.74137932062149048</v>
      </c>
      <c r="N127" s="21">
        <v>0.37735849618911738</v>
      </c>
      <c r="O127" s="21">
        <v>0.94186043739318848</v>
      </c>
      <c r="P127" s="21">
        <v>0.54679805040359497</v>
      </c>
      <c r="Q127" s="21">
        <v>0.52885150909423828</v>
      </c>
      <c r="R127" s="21">
        <v>0.25179004669189448</v>
      </c>
    </row>
    <row r="128" spans="1:18" s="7" customFormat="1" x14ac:dyDescent="0.45">
      <c r="A128" s="7" t="s">
        <v>394</v>
      </c>
      <c r="B128" s="7" t="str">
        <f>VLOOKUP(C128,'Organisation names'!$B$4:$D$130,3,FALSE)</f>
        <v>Surrey and Sussex</v>
      </c>
      <c r="C128" s="7" t="s">
        <v>129</v>
      </c>
      <c r="D128" s="7" t="str">
        <f>VLOOKUP(C128,'Organisation names'!$B$4:$D$130,2,FALSE)</f>
        <v>University Hospitals Sussex NHS Foundation Trust</v>
      </c>
      <c r="E128" s="72">
        <v>327</v>
      </c>
      <c r="F128" s="72">
        <v>108</v>
      </c>
      <c r="G128" s="72">
        <v>30</v>
      </c>
      <c r="H128" s="21">
        <v>0.82568806409835815</v>
      </c>
      <c r="I128" s="27" t="s">
        <v>521</v>
      </c>
      <c r="J128" s="27" t="s">
        <v>610</v>
      </c>
      <c r="K128" s="21">
        <v>0.64814811944961548</v>
      </c>
      <c r="L128" s="21">
        <v>0.74074071645736694</v>
      </c>
      <c r="M128" s="21">
        <v>0.59210526943206787</v>
      </c>
      <c r="N128" s="21">
        <v>0.1633986979722977</v>
      </c>
      <c r="O128" s="21">
        <v>0.96575343608856201</v>
      </c>
      <c r="P128" s="21">
        <v>0.5443425178527832</v>
      </c>
      <c r="Q128" s="21">
        <v>0.53383320569992065</v>
      </c>
      <c r="R128" s="21">
        <v>0.25318345427513123</v>
      </c>
    </row>
    <row r="129" spans="2:17" s="7" customFormat="1" x14ac:dyDescent="0.45">
      <c r="E129" s="10"/>
      <c r="F129" s="10"/>
      <c r="G129" s="10"/>
      <c r="H129" s="11"/>
      <c r="I129" s="28"/>
      <c r="J129" s="28"/>
      <c r="K129" s="11"/>
      <c r="L129" s="11"/>
      <c r="M129" s="11"/>
      <c r="N129" s="11"/>
      <c r="O129" s="11"/>
      <c r="P129" s="11"/>
      <c r="Q129" s="28"/>
    </row>
    <row r="130" spans="2:17" s="7" customFormat="1" x14ac:dyDescent="0.45">
      <c r="E130" s="10"/>
      <c r="F130" s="10"/>
      <c r="G130" s="10"/>
      <c r="H130" s="11"/>
      <c r="I130" s="28"/>
      <c r="J130" s="28"/>
      <c r="K130" s="11"/>
      <c r="L130" s="11"/>
      <c r="M130" s="11"/>
      <c r="N130" s="11"/>
      <c r="O130" s="11"/>
      <c r="P130" s="11"/>
      <c r="Q130" s="28"/>
    </row>
    <row r="131" spans="2:17" s="7" customFormat="1" x14ac:dyDescent="0.45">
      <c r="B131" s="54" t="s">
        <v>279</v>
      </c>
      <c r="C131" s="54" t="s">
        <v>280</v>
      </c>
      <c r="E131" s="28"/>
      <c r="F131" s="28"/>
      <c r="G131" s="28"/>
      <c r="H131" s="29"/>
      <c r="I131" s="28"/>
      <c r="J131" s="28"/>
      <c r="K131" s="28"/>
      <c r="L131" s="28"/>
      <c r="M131" s="28"/>
      <c r="N131" s="28"/>
      <c r="O131" s="29"/>
      <c r="P131" s="30"/>
      <c r="Q131" s="28"/>
    </row>
    <row r="132" spans="2:17" s="7" customFormat="1" x14ac:dyDescent="0.45">
      <c r="B132" s="7" t="s">
        <v>135</v>
      </c>
      <c r="C132" s="7" t="s">
        <v>663</v>
      </c>
      <c r="E132" s="28"/>
      <c r="F132" s="28"/>
      <c r="G132" s="28"/>
      <c r="H132" s="62"/>
      <c r="I132" s="28"/>
      <c r="J132" s="28"/>
      <c r="K132" s="62"/>
      <c r="L132" s="62"/>
      <c r="M132" s="62"/>
      <c r="N132" s="62"/>
      <c r="O132" s="62"/>
      <c r="P132" s="62"/>
    </row>
    <row r="133" spans="2:17" x14ac:dyDescent="0.45">
      <c r="E133" s="4"/>
      <c r="F133" s="4"/>
      <c r="G133" s="4"/>
    </row>
    <row r="135" spans="2:17" x14ac:dyDescent="0.45">
      <c r="B135" s="17"/>
      <c r="C135" s="17"/>
    </row>
    <row r="136" spans="2:17" x14ac:dyDescent="0.45">
      <c r="B136" s="17"/>
      <c r="C136" s="17"/>
    </row>
  </sheetData>
  <mergeCells count="5">
    <mergeCell ref="B9:D9"/>
    <mergeCell ref="O7:P7"/>
    <mergeCell ref="M7:N7"/>
    <mergeCell ref="Q7:R7"/>
    <mergeCell ref="I7:L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Cover Sheet</vt:lpstr>
      <vt:lpstr>1 - Introduction</vt:lpstr>
      <vt:lpstr>2a. Data quality (Eng Trust)</vt:lpstr>
      <vt:lpstr>2b. Data quality (Eng Alliance)</vt:lpstr>
      <vt:lpstr>2c. Data quality (Wales)</vt:lpstr>
      <vt:lpstr>3a. Pat char (Eng Trust)</vt:lpstr>
      <vt:lpstr>3b. Pat char (Eng Alliance)</vt:lpstr>
      <vt:lpstr>3c. Pat char (Wales)</vt:lpstr>
      <vt:lpstr>4a. Indicators (Eng Trust)</vt:lpstr>
      <vt:lpstr>4b. Indicators (Eng Alliance)</vt:lpstr>
      <vt:lpstr>4c. Indicators (Wales)</vt:lpstr>
      <vt:lpstr>5. Surg indicators (Eng Trust)</vt:lpstr>
      <vt:lpstr>Surg indicators (Wales)</vt:lpstr>
      <vt:lpstr>Organisation names</vt:lpstr>
    </vt:vector>
  </TitlesOfParts>
  <Company>Royal College of Surgeons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McDonell</dc:creator>
  <cp:lastModifiedBy>Amanda McDonell</cp:lastModifiedBy>
  <dcterms:created xsi:type="dcterms:W3CDTF">2024-06-19T14:20:00Z</dcterms:created>
  <dcterms:modified xsi:type="dcterms:W3CDTF">2025-09-01T14:09:26Z</dcterms:modified>
</cp:coreProperties>
</file>